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nsfile4svr\Accessibilitydata\23016data\02_Production\23016-0099A\06_UPB\R2\23016-0099A\Accessible Excel\"/>
    </mc:Choice>
  </mc:AlternateContent>
  <xr:revisionPtr revIDLastSave="0" documentId="13_ncr:1_{8F53C318-9E83-4A38-9790-0BC69F2E8CF8}" xr6:coauthVersionLast="47" xr6:coauthVersionMax="47" xr10:uidLastSave="{00000000-0000-0000-0000-000000000000}"/>
  <bookViews>
    <workbookView xWindow="-120" yWindow="-120" windowWidth="20730" windowHeight="11310" firstSheet="1" activeTab="6" xr2:uid="{00000000-000D-0000-FFFF-FFFF00000000}"/>
  </bookViews>
  <sheets>
    <sheet name="Introduction" sheetId="23" r:id="rId1"/>
    <sheet name="Phase 0" sheetId="6" r:id="rId2"/>
    <sheet name="Phase 1" sheetId="15" r:id="rId3"/>
    <sheet name="Phase 2" sheetId="4" r:id="rId4"/>
    <sheet name="Phase 3" sheetId="14" r:id="rId5"/>
    <sheet name="Phase 4" sheetId="10" r:id="rId6"/>
    <sheet name="Phase 5" sheetId="22" r:id="rId7"/>
    <sheet name="Phase 6" sheetId="8" r:id="rId8"/>
    <sheet name="(Prix)" sheetId="11" state="hidden" r:id="rId9"/>
  </sheets>
  <definedNames>
    <definedName name="_xlnm.Print_Area" localSheetId="3">'Phase 2'!$A$1:$E$40</definedName>
    <definedName name="_xlnm.Print_Area" localSheetId="4">'Phase 3'!$A$1:$H$41</definedName>
    <definedName name="_xlnm.Print_Area" localSheetId="5">'Phase 4'!$A$1:$H$41</definedName>
    <definedName name="_xlnm.Print_Area" localSheetId="6">'Phase 5'!$A$1:$E$40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1" l="1"/>
  <c r="H20" i="11" s="1"/>
  <c r="G61" i="11"/>
  <c r="G20" i="11" s="1"/>
  <c r="F61" i="11"/>
  <c r="E61" i="11"/>
  <c r="E20" i="11" s="1"/>
  <c r="D61" i="11"/>
  <c r="D20" i="11" s="1"/>
  <c r="C61" i="11"/>
  <c r="C20" i="11" s="1"/>
  <c r="C59" i="11"/>
  <c r="C58" i="11"/>
  <c r="C56" i="11"/>
  <c r="C55" i="11"/>
  <c r="C18" i="11" s="1"/>
  <c r="C24" i="11" s="1"/>
  <c r="C51" i="11"/>
  <c r="C50" i="11"/>
  <c r="C49" i="11"/>
  <c r="C6" i="11" s="1"/>
  <c r="H46" i="11"/>
  <c r="G46" i="11"/>
  <c r="F46" i="11"/>
  <c r="E46" i="11"/>
  <c r="D46" i="11"/>
  <c r="C46" i="11"/>
  <c r="H44" i="11"/>
  <c r="G44" i="11"/>
  <c r="F44" i="11"/>
  <c r="E44" i="11"/>
  <c r="D44" i="11"/>
  <c r="C44" i="11"/>
  <c r="C42" i="11"/>
  <c r="H41" i="11"/>
  <c r="G41" i="11"/>
  <c r="G12" i="11" s="1"/>
  <c r="F41" i="11"/>
  <c r="F11" i="11" s="1"/>
  <c r="E41" i="11"/>
  <c r="E12" i="11" s="1"/>
  <c r="D41" i="11"/>
  <c r="D11" i="11" s="1"/>
  <c r="C41" i="11"/>
  <c r="C5" i="11" s="1"/>
  <c r="F20" i="11"/>
  <c r="H19" i="11"/>
  <c r="G19" i="11"/>
  <c r="F19" i="11"/>
  <c r="E19" i="11"/>
  <c r="D19" i="11"/>
  <c r="C19" i="11"/>
  <c r="H18" i="11"/>
  <c r="G18" i="11"/>
  <c r="G24" i="11" s="1"/>
  <c r="F18" i="11"/>
  <c r="E18" i="11"/>
  <c r="D18" i="11"/>
  <c r="H12" i="11"/>
  <c r="C12" i="11"/>
  <c r="H11" i="11"/>
  <c r="H5" i="11"/>
  <c r="A39" i="8"/>
  <c r="A37" i="8"/>
  <c r="A35" i="8"/>
  <c r="A28" i="8"/>
  <c r="A27" i="8"/>
  <c r="C26" i="8"/>
  <c r="D26" i="8" s="1"/>
  <c r="E26" i="8" s="1"/>
  <c r="A17" i="8"/>
  <c r="A10" i="8"/>
  <c r="A8" i="8"/>
  <c r="A7" i="8"/>
  <c r="A6" i="8"/>
  <c r="A34" i="22"/>
  <c r="A33" i="22"/>
  <c r="A32" i="22"/>
  <c r="A31" i="22"/>
  <c r="A28" i="22"/>
  <c r="A11" i="22"/>
  <c r="A8" i="22"/>
  <c r="A7" i="22"/>
  <c r="C5" i="22"/>
  <c r="A39" i="10"/>
  <c r="A37" i="10"/>
  <c r="A33" i="10"/>
  <c r="A32" i="10"/>
  <c r="A31" i="10"/>
  <c r="A30" i="10"/>
  <c r="A28" i="10"/>
  <c r="A27" i="10"/>
  <c r="C26" i="10"/>
  <c r="A17" i="10"/>
  <c r="A10" i="10"/>
  <c r="A7" i="10"/>
  <c r="A6" i="10"/>
  <c r="A39" i="14"/>
  <c r="A37" i="14"/>
  <c r="A33" i="14"/>
  <c r="A32" i="14"/>
  <c r="A31" i="14"/>
  <c r="A30" i="14"/>
  <c r="A28" i="14"/>
  <c r="A27" i="14"/>
  <c r="C26" i="14"/>
  <c r="D26" i="14" s="1"/>
  <c r="E26" i="14" s="1"/>
  <c r="F26" i="14" s="1"/>
  <c r="G26" i="14" s="1"/>
  <c r="H26" i="14" s="1"/>
  <c r="A17" i="14"/>
  <c r="A10" i="14"/>
  <c r="A7" i="14"/>
  <c r="A6" i="14"/>
  <c r="C33" i="4"/>
  <c r="C33" i="14" s="1"/>
  <c r="D33" i="14" s="1"/>
  <c r="E33" i="14" s="1"/>
  <c r="F33" i="14" s="1"/>
  <c r="G33" i="14" s="1"/>
  <c r="H33" i="14" s="1"/>
  <c r="A33" i="4"/>
  <c r="A33" i="8" s="1"/>
  <c r="C32" i="4"/>
  <c r="C33" i="22" s="1"/>
  <c r="C32" i="8" s="1"/>
  <c r="D32" i="8" s="1"/>
  <c r="E32" i="8" s="1"/>
  <c r="A32" i="4"/>
  <c r="A32" i="8" s="1"/>
  <c r="C31" i="4"/>
  <c r="C31" i="10" s="1"/>
  <c r="D31" i="10" s="1"/>
  <c r="E31" i="10" s="1"/>
  <c r="F31" i="10" s="1"/>
  <c r="G31" i="10" s="1"/>
  <c r="H31" i="10" s="1"/>
  <c r="A31" i="4"/>
  <c r="A31" i="8" s="1"/>
  <c r="C30" i="4"/>
  <c r="A30" i="4"/>
  <c r="A30" i="8" s="1"/>
  <c r="C25" i="4"/>
  <c r="C26" i="22" s="1"/>
  <c r="A25" i="4"/>
  <c r="C24" i="4"/>
  <c r="C24" i="10" s="1"/>
  <c r="D24" i="10" s="1"/>
  <c r="E24" i="10" s="1"/>
  <c r="F24" i="10" s="1"/>
  <c r="G24" i="10" s="1"/>
  <c r="H24" i="10" s="1"/>
  <c r="A24" i="4"/>
  <c r="A24" i="14" s="1"/>
  <c r="C23" i="4"/>
  <c r="C24" i="22" s="1"/>
  <c r="E24" i="22" s="1"/>
  <c r="A23" i="4"/>
  <c r="A23" i="14" s="1"/>
  <c r="C22" i="4"/>
  <c r="E22" i="4" s="1"/>
  <c r="A22" i="4"/>
  <c r="A23" i="22" s="1"/>
  <c r="C21" i="4"/>
  <c r="C21" i="10" s="1"/>
  <c r="D21" i="10" s="1"/>
  <c r="E21" i="10" s="1"/>
  <c r="F21" i="10" s="1"/>
  <c r="G21" i="10" s="1"/>
  <c r="H21" i="10" s="1"/>
  <c r="A21" i="4"/>
  <c r="A21" i="8" s="1"/>
  <c r="C20" i="4"/>
  <c r="C21" i="22" s="1"/>
  <c r="C20" i="8" s="1"/>
  <c r="D20" i="8" s="1"/>
  <c r="E20" i="8" s="1"/>
  <c r="A20" i="4"/>
  <c r="A20" i="8" s="1"/>
  <c r="C19" i="4"/>
  <c r="E19" i="4" s="1"/>
  <c r="A19" i="4"/>
  <c r="A19" i="8" s="1"/>
  <c r="A16" i="4"/>
  <c r="A15" i="4"/>
  <c r="A15" i="10" s="1"/>
  <c r="A14" i="4"/>
  <c r="A15" i="22" s="1"/>
  <c r="A13" i="4"/>
  <c r="A13" i="10" s="1"/>
  <c r="A12" i="4"/>
  <c r="A13" i="22" s="1"/>
  <c r="A11" i="4"/>
  <c r="A12" i="22" s="1"/>
  <c r="C7" i="4"/>
  <c r="C7" i="10" s="1"/>
  <c r="F7" i="10" s="1"/>
  <c r="C6" i="4"/>
  <c r="C11" i="4" s="1"/>
  <c r="C4" i="4"/>
  <c r="C2" i="4"/>
  <c r="B2" i="4"/>
  <c r="C85" i="15"/>
  <c r="B85" i="15"/>
  <c r="C84" i="15"/>
  <c r="B84" i="15"/>
  <c r="C83" i="15"/>
  <c r="B83" i="15"/>
  <c r="C82" i="15"/>
  <c r="B82" i="15"/>
  <c r="C81" i="15"/>
  <c r="B81" i="15"/>
  <c r="B77" i="15"/>
  <c r="B76" i="15"/>
  <c r="B75" i="15"/>
  <c r="B74" i="15"/>
  <c r="B73" i="15"/>
  <c r="B110" i="6"/>
  <c r="I111" i="6" s="1"/>
  <c r="B109" i="6"/>
  <c r="I110" i="6" s="1"/>
  <c r="B108" i="6"/>
  <c r="I109" i="6" s="1"/>
  <c r="B107" i="6"/>
  <c r="I108" i="6" s="1"/>
  <c r="B106" i="6"/>
  <c r="I107" i="6" s="1"/>
  <c r="B105" i="6"/>
  <c r="I106" i="6" s="1"/>
  <c r="B104" i="6"/>
  <c r="I105" i="6" s="1"/>
  <c r="B103" i="6"/>
  <c r="I104" i="6" s="1"/>
  <c r="B102" i="6"/>
  <c r="I103" i="6" s="1"/>
  <c r="B101" i="6"/>
  <c r="I102" i="6" s="1"/>
  <c r="B100" i="6"/>
  <c r="I101" i="6" s="1"/>
  <c r="B99" i="6"/>
  <c r="I100" i="6" s="1"/>
  <c r="B98" i="6"/>
  <c r="I99" i="6" s="1"/>
  <c r="A95" i="6"/>
  <c r="H96" i="6" s="1"/>
  <c r="B90" i="6"/>
  <c r="I91" i="6" s="1"/>
  <c r="B89" i="6"/>
  <c r="I90" i="6" s="1"/>
  <c r="B88" i="6"/>
  <c r="I89" i="6" s="1"/>
  <c r="B87" i="6"/>
  <c r="I88" i="6" s="1"/>
  <c r="B86" i="6"/>
  <c r="I87" i="6" s="1"/>
  <c r="B85" i="6"/>
  <c r="I86" i="6" s="1"/>
  <c r="B84" i="6"/>
  <c r="I85" i="6" s="1"/>
  <c r="B83" i="6"/>
  <c r="I84" i="6" s="1"/>
  <c r="B82" i="6"/>
  <c r="I83" i="6" s="1"/>
  <c r="B81" i="6"/>
  <c r="I82" i="6" s="1"/>
  <c r="B80" i="6"/>
  <c r="I81" i="6" s="1"/>
  <c r="B79" i="6"/>
  <c r="I80" i="6" s="1"/>
  <c r="B78" i="6"/>
  <c r="I79" i="6" s="1"/>
  <c r="K77" i="6"/>
  <c r="K97" i="6" s="1"/>
  <c r="A75" i="6"/>
  <c r="H76" i="6" s="1"/>
  <c r="I73" i="6"/>
  <c r="I72" i="6"/>
  <c r="B72" i="6"/>
  <c r="I71" i="6"/>
  <c r="B71" i="6"/>
  <c r="I70" i="6"/>
  <c r="B70" i="6"/>
  <c r="I69" i="6"/>
  <c r="B69" i="6"/>
  <c r="I68" i="6"/>
  <c r="B68" i="6"/>
  <c r="I67" i="6"/>
  <c r="I66" i="6"/>
  <c r="B66" i="6"/>
  <c r="I65" i="6"/>
  <c r="B65" i="6"/>
  <c r="I64" i="6"/>
  <c r="B64" i="6"/>
  <c r="I63" i="6"/>
  <c r="B63" i="6"/>
  <c r="I62" i="6"/>
  <c r="B62" i="6"/>
  <c r="I61" i="6"/>
  <c r="B61" i="6"/>
  <c r="B60" i="6"/>
  <c r="M59" i="6"/>
  <c r="M77" i="6" s="1"/>
  <c r="M97" i="6" s="1"/>
  <c r="L59" i="6"/>
  <c r="L77" i="6" s="1"/>
  <c r="L97" i="6" s="1"/>
  <c r="K59" i="6"/>
  <c r="J59" i="6"/>
  <c r="J77" i="6" s="1"/>
  <c r="J97" i="6" s="1"/>
  <c r="F58" i="6"/>
  <c r="F76" i="6" s="1"/>
  <c r="F96" i="6" s="1"/>
  <c r="E58" i="6"/>
  <c r="E76" i="6" s="1"/>
  <c r="E96" i="6" s="1"/>
  <c r="D58" i="6"/>
  <c r="D76" i="6" s="1"/>
  <c r="D96" i="6" s="1"/>
  <c r="C58" i="6"/>
  <c r="C76" i="6" s="1"/>
  <c r="C96" i="6" s="1"/>
  <c r="A57" i="6"/>
  <c r="H58" i="6" s="1"/>
  <c r="J39" i="6"/>
  <c r="I39" i="6"/>
  <c r="H39" i="6"/>
  <c r="J38" i="6"/>
  <c r="I38" i="6"/>
  <c r="H38" i="6"/>
  <c r="J37" i="6"/>
  <c r="I37" i="6"/>
  <c r="H37" i="6"/>
  <c r="J36" i="6"/>
  <c r="I36" i="6"/>
  <c r="H36" i="6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M6" i="6"/>
  <c r="M7" i="6" s="1"/>
  <c r="L6" i="6"/>
  <c r="L7" i="6" s="1"/>
  <c r="K6" i="6"/>
  <c r="K7" i="6" s="1"/>
  <c r="J6" i="6"/>
  <c r="J7" i="6" s="1"/>
  <c r="B36" i="6"/>
  <c r="B34" i="6"/>
  <c r="B27" i="6"/>
  <c r="B31" i="6"/>
  <c r="B35" i="6"/>
  <c r="B30" i="6"/>
  <c r="B38" i="6"/>
  <c r="B32" i="6"/>
  <c r="B28" i="6"/>
  <c r="B37" i="6"/>
  <c r="B26" i="6"/>
  <c r="B33" i="6"/>
  <c r="B29" i="6"/>
  <c r="F12" i="11" l="1"/>
  <c r="D24" i="11"/>
  <c r="C8" i="11"/>
  <c r="E24" i="11"/>
  <c r="D49" i="11"/>
  <c r="D6" i="11" s="1"/>
  <c r="C31" i="14"/>
  <c r="D31" i="14" s="1"/>
  <c r="E31" i="14" s="1"/>
  <c r="F31" i="14" s="1"/>
  <c r="G31" i="14" s="1"/>
  <c r="H31" i="14" s="1"/>
  <c r="L30" i="6"/>
  <c r="E31" i="4"/>
  <c r="G11" i="11"/>
  <c r="L36" i="6"/>
  <c r="A21" i="14"/>
  <c r="F24" i="11"/>
  <c r="D12" i="11"/>
  <c r="H24" i="11"/>
  <c r="L37" i="6"/>
  <c r="E35" i="4"/>
  <c r="G5" i="11"/>
  <c r="A16" i="22"/>
  <c r="A15" i="8"/>
  <c r="F49" i="11"/>
  <c r="F10" i="11" s="1"/>
  <c r="E33" i="4"/>
  <c r="A20" i="14"/>
  <c r="C34" i="22"/>
  <c r="G49" i="11"/>
  <c r="G6" i="11" s="1"/>
  <c r="A20" i="22"/>
  <c r="A22" i="8"/>
  <c r="E5" i="11"/>
  <c r="E11" i="11"/>
  <c r="H49" i="11"/>
  <c r="H10" i="11" s="1"/>
  <c r="C33" i="10"/>
  <c r="D33" i="10" s="1"/>
  <c r="E33" i="10" s="1"/>
  <c r="F33" i="10" s="1"/>
  <c r="G33" i="10" s="1"/>
  <c r="H33" i="10" s="1"/>
  <c r="A22" i="14"/>
  <c r="A21" i="10"/>
  <c r="C32" i="10"/>
  <c r="D32" i="10" s="1"/>
  <c r="E32" i="10" s="1"/>
  <c r="F32" i="10" s="1"/>
  <c r="G32" i="10" s="1"/>
  <c r="H32" i="10" s="1"/>
  <c r="A22" i="22"/>
  <c r="A24" i="8"/>
  <c r="F5" i="11"/>
  <c r="C10" i="11"/>
  <c r="A22" i="10"/>
  <c r="C11" i="11"/>
  <c r="D42" i="11"/>
  <c r="A12" i="14"/>
  <c r="L33" i="6"/>
  <c r="A15" i="14"/>
  <c r="A11" i="8"/>
  <c r="E49" i="11"/>
  <c r="E6" i="11" s="1"/>
  <c r="E7" i="4"/>
  <c r="C13" i="4"/>
  <c r="E13" i="4" s="1"/>
  <c r="C16" i="4"/>
  <c r="E16" i="4" s="1"/>
  <c r="E6" i="4"/>
  <c r="E25" i="4"/>
  <c r="C24" i="14"/>
  <c r="D24" i="14" s="1"/>
  <c r="E24" i="14" s="1"/>
  <c r="F24" i="14" s="1"/>
  <c r="G24" i="14" s="1"/>
  <c r="H24" i="14" s="1"/>
  <c r="C25" i="22"/>
  <c r="C24" i="8" s="1"/>
  <c r="D24" i="8" s="1"/>
  <c r="E24" i="8" s="1"/>
  <c r="C27" i="4"/>
  <c r="C28" i="22" s="1"/>
  <c r="J15" i="6"/>
  <c r="C85" i="6" s="1"/>
  <c r="J11" i="6"/>
  <c r="C63" i="6" s="1"/>
  <c r="J9" i="6"/>
  <c r="C99" i="6" s="1"/>
  <c r="J20" i="6"/>
  <c r="C90" i="6" s="1"/>
  <c r="J18" i="6"/>
  <c r="C88" i="6" s="1"/>
  <c r="J13" i="6"/>
  <c r="C83" i="6" s="1"/>
  <c r="L34" i="6"/>
  <c r="L39" i="6"/>
  <c r="L38" i="6"/>
  <c r="L32" i="6"/>
  <c r="L35" i="6"/>
  <c r="L31" i="6"/>
  <c r="L29" i="6"/>
  <c r="L28" i="6"/>
  <c r="L27" i="6"/>
  <c r="K17" i="6"/>
  <c r="K10" i="6"/>
  <c r="K19" i="6"/>
  <c r="K12" i="6"/>
  <c r="K14" i="6"/>
  <c r="K16" i="6"/>
  <c r="K18" i="6"/>
  <c r="K9" i="6"/>
  <c r="K20" i="6"/>
  <c r="K11" i="6"/>
  <c r="K13" i="6"/>
  <c r="K15" i="6"/>
  <c r="K8" i="6"/>
  <c r="L20" i="6"/>
  <c r="L18" i="6"/>
  <c r="L16" i="6"/>
  <c r="L14" i="6"/>
  <c r="L12" i="6"/>
  <c r="L10" i="6"/>
  <c r="L8" i="6"/>
  <c r="L19" i="6"/>
  <c r="L9" i="6"/>
  <c r="L11" i="6"/>
  <c r="L13" i="6"/>
  <c r="L15" i="6"/>
  <c r="L17" i="6"/>
  <c r="M12" i="6"/>
  <c r="M14" i="6"/>
  <c r="M16" i="6"/>
  <c r="M9" i="6"/>
  <c r="M11" i="6"/>
  <c r="M20" i="6"/>
  <c r="M13" i="6"/>
  <c r="M15" i="6"/>
  <c r="M17" i="6"/>
  <c r="M8" i="6"/>
  <c r="M10" i="6"/>
  <c r="M19" i="6"/>
  <c r="M18" i="6"/>
  <c r="C11" i="14"/>
  <c r="D11" i="14" s="1"/>
  <c r="E11" i="14" s="1"/>
  <c r="F11" i="14" s="1"/>
  <c r="G11" i="14" s="1"/>
  <c r="H11" i="14" s="1"/>
  <c r="E11" i="4"/>
  <c r="C11" i="10"/>
  <c r="C72" i="6"/>
  <c r="J16" i="6"/>
  <c r="E26" i="22"/>
  <c r="C25" i="8"/>
  <c r="D25" i="8" s="1"/>
  <c r="E25" i="8" s="1"/>
  <c r="J14" i="6"/>
  <c r="J12" i="6"/>
  <c r="J19" i="6"/>
  <c r="J10" i="6"/>
  <c r="J17" i="6"/>
  <c r="J8" i="6"/>
  <c r="C14" i="4"/>
  <c r="E21" i="4"/>
  <c r="C22" i="22"/>
  <c r="E30" i="4"/>
  <c r="C31" i="22"/>
  <c r="C6" i="14"/>
  <c r="A11" i="10"/>
  <c r="A20" i="10"/>
  <c r="A26" i="22"/>
  <c r="A25" i="10"/>
  <c r="A25" i="8"/>
  <c r="C35" i="4"/>
  <c r="A11" i="14"/>
  <c r="C21" i="14"/>
  <c r="D21" i="14" s="1"/>
  <c r="E21" i="14" s="1"/>
  <c r="F21" i="14" s="1"/>
  <c r="G21" i="14" s="1"/>
  <c r="H21" i="14" s="1"/>
  <c r="C23" i="14"/>
  <c r="D23" i="14" s="1"/>
  <c r="E23" i="14" s="1"/>
  <c r="F23" i="14" s="1"/>
  <c r="G23" i="14" s="1"/>
  <c r="H23" i="14" s="1"/>
  <c r="A25" i="14"/>
  <c r="C30" i="14"/>
  <c r="C20" i="10"/>
  <c r="D20" i="10" s="1"/>
  <c r="E20" i="10" s="1"/>
  <c r="F20" i="10" s="1"/>
  <c r="G20" i="10" s="1"/>
  <c r="H20" i="10" s="1"/>
  <c r="A21" i="22"/>
  <c r="C15" i="4"/>
  <c r="E8" i="4"/>
  <c r="C12" i="4"/>
  <c r="C8" i="4"/>
  <c r="C23" i="22"/>
  <c r="C22" i="10"/>
  <c r="D22" i="10" s="1"/>
  <c r="E22" i="10" s="1"/>
  <c r="F22" i="10" s="1"/>
  <c r="G22" i="10" s="1"/>
  <c r="H22" i="10" s="1"/>
  <c r="C22" i="14"/>
  <c r="D22" i="14" s="1"/>
  <c r="E22" i="14" s="1"/>
  <c r="F22" i="14" s="1"/>
  <c r="G22" i="14" s="1"/>
  <c r="H22" i="14" s="1"/>
  <c r="C25" i="14"/>
  <c r="D25" i="14" s="1"/>
  <c r="E25" i="14" s="1"/>
  <c r="F25" i="14" s="1"/>
  <c r="G25" i="14" s="1"/>
  <c r="H25" i="14" s="1"/>
  <c r="C25" i="10"/>
  <c r="D25" i="10" s="1"/>
  <c r="E25" i="10" s="1"/>
  <c r="F25" i="10" s="1"/>
  <c r="G25" i="10" s="1"/>
  <c r="H25" i="10" s="1"/>
  <c r="D35" i="4"/>
  <c r="C6" i="10"/>
  <c r="C30" i="10"/>
  <c r="E21" i="22"/>
  <c r="C23" i="8"/>
  <c r="D23" i="8" s="1"/>
  <c r="E23" i="8" s="1"/>
  <c r="A12" i="8"/>
  <c r="A12" i="10"/>
  <c r="H7" i="10"/>
  <c r="G7" i="10"/>
  <c r="A14" i="22"/>
  <c r="A13" i="14"/>
  <c r="A13" i="8"/>
  <c r="A16" i="10"/>
  <c r="A16" i="8"/>
  <c r="A17" i="22"/>
  <c r="A23" i="8"/>
  <c r="A24" i="22"/>
  <c r="A23" i="10"/>
  <c r="C7" i="14"/>
  <c r="D7" i="14" s="1"/>
  <c r="E7" i="14" s="1"/>
  <c r="F7" i="14" s="1"/>
  <c r="C23" i="10"/>
  <c r="D23" i="10" s="1"/>
  <c r="E23" i="10" s="1"/>
  <c r="F23" i="10" s="1"/>
  <c r="G23" i="10" s="1"/>
  <c r="H23" i="10" s="1"/>
  <c r="E20" i="4"/>
  <c r="E23" i="4"/>
  <c r="C20" i="14"/>
  <c r="D20" i="14" s="1"/>
  <c r="E20" i="14" s="1"/>
  <c r="F20" i="14" s="1"/>
  <c r="G20" i="14" s="1"/>
  <c r="H20" i="14" s="1"/>
  <c r="D7" i="10"/>
  <c r="A25" i="22"/>
  <c r="C32" i="22"/>
  <c r="A14" i="8"/>
  <c r="A14" i="10"/>
  <c r="A14" i="14"/>
  <c r="A16" i="14"/>
  <c r="E7" i="10"/>
  <c r="A24" i="10"/>
  <c r="G10" i="11"/>
  <c r="A19" i="14"/>
  <c r="C32" i="14"/>
  <c r="D32" i="14" s="1"/>
  <c r="E32" i="14" s="1"/>
  <c r="F32" i="14" s="1"/>
  <c r="G32" i="14" s="1"/>
  <c r="H32" i="14" s="1"/>
  <c r="A19" i="10"/>
  <c r="E33" i="22"/>
  <c r="C19" i="14"/>
  <c r="C20" i="22"/>
  <c r="E24" i="4"/>
  <c r="E32" i="4"/>
  <c r="C19" i="10"/>
  <c r="D5" i="11"/>
  <c r="C28" i="4" l="1"/>
  <c r="D10" i="11"/>
  <c r="D14" i="11" s="1"/>
  <c r="F6" i="11"/>
  <c r="C16" i="14"/>
  <c r="D16" i="14" s="1"/>
  <c r="E16" i="14" s="1"/>
  <c r="F16" i="14" s="1"/>
  <c r="G16" i="14" s="1"/>
  <c r="H16" i="14" s="1"/>
  <c r="E25" i="22"/>
  <c r="C13" i="10"/>
  <c r="H6" i="11"/>
  <c r="E10" i="11"/>
  <c r="E14" i="11" s="1"/>
  <c r="E42" i="11"/>
  <c r="D8" i="11"/>
  <c r="C33" i="8"/>
  <c r="D33" i="8" s="1"/>
  <c r="E33" i="8" s="1"/>
  <c r="E34" i="22"/>
  <c r="C65" i="6"/>
  <c r="C16" i="11"/>
  <c r="C14" i="11"/>
  <c r="C13" i="14"/>
  <c r="D13" i="14" s="1"/>
  <c r="E13" i="14" s="1"/>
  <c r="F13" i="14" s="1"/>
  <c r="G13" i="14" s="1"/>
  <c r="H13" i="14" s="1"/>
  <c r="C103" i="6"/>
  <c r="M42" i="6"/>
  <c r="E28" i="4"/>
  <c r="C27" i="14"/>
  <c r="D27" i="14" s="1"/>
  <c r="E27" i="14" s="1"/>
  <c r="F27" i="14" s="1"/>
  <c r="G27" i="14" s="1"/>
  <c r="H27" i="14" s="1"/>
  <c r="E27" i="4"/>
  <c r="D28" i="4"/>
  <c r="C27" i="10"/>
  <c r="D27" i="10" s="1"/>
  <c r="E27" i="10" s="1"/>
  <c r="F27" i="10" s="1"/>
  <c r="G27" i="10" s="1"/>
  <c r="H27" i="10" s="1"/>
  <c r="C16" i="10"/>
  <c r="C81" i="6"/>
  <c r="C67" i="6"/>
  <c r="C101" i="6"/>
  <c r="C105" i="6"/>
  <c r="C61" i="6"/>
  <c r="C79" i="6"/>
  <c r="G7" i="14"/>
  <c r="H7" i="14" s="1"/>
  <c r="C70" i="6"/>
  <c r="C108" i="6"/>
  <c r="C110" i="6"/>
  <c r="G14" i="11"/>
  <c r="G16" i="11"/>
  <c r="G25" i="11" s="1"/>
  <c r="C8" i="10"/>
  <c r="D6" i="10"/>
  <c r="G6" i="14"/>
  <c r="C8" i="14"/>
  <c r="F6" i="14"/>
  <c r="E6" i="14"/>
  <c r="H6" i="14"/>
  <c r="D6" i="14"/>
  <c r="C80" i="6"/>
  <c r="C62" i="6"/>
  <c r="C100" i="6"/>
  <c r="F69" i="6"/>
  <c r="F87" i="6"/>
  <c r="F107" i="6"/>
  <c r="E62" i="6"/>
  <c r="E100" i="6"/>
  <c r="E80" i="6"/>
  <c r="D71" i="6"/>
  <c r="D89" i="6"/>
  <c r="D109" i="6"/>
  <c r="C31" i="8"/>
  <c r="D31" i="8" s="1"/>
  <c r="E31" i="8" s="1"/>
  <c r="E32" i="22"/>
  <c r="E20" i="22"/>
  <c r="C29" i="22"/>
  <c r="C19" i="8"/>
  <c r="C21" i="8"/>
  <c r="D21" i="8" s="1"/>
  <c r="E21" i="8" s="1"/>
  <c r="E22" i="22"/>
  <c r="C86" i="6"/>
  <c r="C68" i="6"/>
  <c r="C106" i="6"/>
  <c r="F90" i="6"/>
  <c r="F110" i="6"/>
  <c r="F72" i="6"/>
  <c r="E83" i="6"/>
  <c r="E103" i="6"/>
  <c r="E65" i="6"/>
  <c r="E106" i="6"/>
  <c r="E86" i="6"/>
  <c r="E68" i="6"/>
  <c r="D79" i="6"/>
  <c r="D61" i="6"/>
  <c r="D99" i="6"/>
  <c r="D19" i="14"/>
  <c r="C28" i="14"/>
  <c r="H16" i="11"/>
  <c r="H25" i="11" s="1"/>
  <c r="H14" i="11"/>
  <c r="D30" i="10"/>
  <c r="C35" i="10"/>
  <c r="C22" i="8"/>
  <c r="D22" i="8" s="1"/>
  <c r="E22" i="8" s="1"/>
  <c r="E23" i="22"/>
  <c r="F70" i="6"/>
  <c r="F88" i="6"/>
  <c r="F108" i="6"/>
  <c r="F101" i="6"/>
  <c r="F81" i="6"/>
  <c r="F63" i="6"/>
  <c r="E63" i="6"/>
  <c r="E101" i="6"/>
  <c r="E81" i="6"/>
  <c r="E70" i="6"/>
  <c r="E88" i="6"/>
  <c r="E108" i="6"/>
  <c r="D108" i="6"/>
  <c r="D70" i="6"/>
  <c r="D88" i="6"/>
  <c r="F79" i="6"/>
  <c r="F61" i="6"/>
  <c r="F99" i="6"/>
  <c r="E79" i="6"/>
  <c r="E61" i="6"/>
  <c r="E99" i="6"/>
  <c r="E110" i="6"/>
  <c r="E90" i="6"/>
  <c r="E72" i="6"/>
  <c r="D86" i="6"/>
  <c r="D68" i="6"/>
  <c r="D106" i="6"/>
  <c r="C14" i="14"/>
  <c r="D14" i="14" s="1"/>
  <c r="E14" i="14" s="1"/>
  <c r="F14" i="14" s="1"/>
  <c r="G14" i="14" s="1"/>
  <c r="H14" i="14" s="1"/>
  <c r="C14" i="10"/>
  <c r="E14" i="4"/>
  <c r="F71" i="6"/>
  <c r="F89" i="6"/>
  <c r="F109" i="6"/>
  <c r="C12" i="10"/>
  <c r="E12" i="4"/>
  <c r="C12" i="14"/>
  <c r="D12" i="14" s="1"/>
  <c r="E12" i="14" s="1"/>
  <c r="F12" i="14" s="1"/>
  <c r="G12" i="14" s="1"/>
  <c r="H12" i="14" s="1"/>
  <c r="C78" i="6"/>
  <c r="C60" i="6"/>
  <c r="C98" i="6"/>
  <c r="F62" i="6"/>
  <c r="F100" i="6"/>
  <c r="F80" i="6"/>
  <c r="F106" i="6"/>
  <c r="F68" i="6"/>
  <c r="F86" i="6"/>
  <c r="E71" i="6"/>
  <c r="E89" i="6"/>
  <c r="E109" i="6"/>
  <c r="D60" i="6"/>
  <c r="D98" i="6"/>
  <c r="D78" i="6"/>
  <c r="D84" i="6"/>
  <c r="D104" i="6"/>
  <c r="D66" i="6"/>
  <c r="D19" i="10"/>
  <c r="F14" i="11"/>
  <c r="F16" i="11"/>
  <c r="F25" i="11" s="1"/>
  <c r="C107" i="6"/>
  <c r="C87" i="6"/>
  <c r="C69" i="6"/>
  <c r="C84" i="6"/>
  <c r="C104" i="6"/>
  <c r="C66" i="6"/>
  <c r="F60" i="6"/>
  <c r="F98" i="6"/>
  <c r="F78" i="6"/>
  <c r="F84" i="6"/>
  <c r="F104" i="6"/>
  <c r="F66" i="6"/>
  <c r="E60" i="6"/>
  <c r="E98" i="6"/>
  <c r="E78" i="6"/>
  <c r="D85" i="6"/>
  <c r="D105" i="6"/>
  <c r="D67" i="6"/>
  <c r="D102" i="6"/>
  <c r="D82" i="6"/>
  <c r="D64" i="6"/>
  <c r="C27" i="8"/>
  <c r="D27" i="8" s="1"/>
  <c r="E27" i="8" s="1"/>
  <c r="E28" i="22"/>
  <c r="F82" i="6"/>
  <c r="F102" i="6"/>
  <c r="F64" i="6"/>
  <c r="D83" i="6"/>
  <c r="D103" i="6"/>
  <c r="D65" i="6"/>
  <c r="C35" i="14"/>
  <c r="D30" i="14"/>
  <c r="C36" i="22"/>
  <c r="C30" i="8"/>
  <c r="E31" i="22"/>
  <c r="C109" i="6"/>
  <c r="C71" i="6"/>
  <c r="C89" i="6"/>
  <c r="F105" i="6"/>
  <c r="F67" i="6"/>
  <c r="F85" i="6"/>
  <c r="E107" i="6"/>
  <c r="E69" i="6"/>
  <c r="E87" i="6"/>
  <c r="E102" i="6"/>
  <c r="E82" i="6"/>
  <c r="E64" i="6"/>
  <c r="D63" i="6"/>
  <c r="D101" i="6"/>
  <c r="D81" i="6"/>
  <c r="D80" i="6"/>
  <c r="D62" i="6"/>
  <c r="D100" i="6"/>
  <c r="C15" i="10"/>
  <c r="C15" i="14"/>
  <c r="D15" i="14" s="1"/>
  <c r="E15" i="14" s="1"/>
  <c r="F15" i="14" s="1"/>
  <c r="G15" i="14" s="1"/>
  <c r="H15" i="14" s="1"/>
  <c r="E15" i="4"/>
  <c r="D16" i="11"/>
  <c r="C64" i="6"/>
  <c r="C102" i="6"/>
  <c r="C82" i="6"/>
  <c r="F83" i="6"/>
  <c r="F103" i="6"/>
  <c r="F65" i="6"/>
  <c r="E85" i="6"/>
  <c r="E105" i="6"/>
  <c r="E67" i="6"/>
  <c r="E84" i="6"/>
  <c r="E104" i="6"/>
  <c r="E66" i="6"/>
  <c r="D72" i="6"/>
  <c r="D90" i="6"/>
  <c r="D110" i="6"/>
  <c r="D87" i="6"/>
  <c r="D107" i="6"/>
  <c r="D69" i="6"/>
  <c r="C8" i="22" a="1"/>
  <c r="E16" i="11" l="1"/>
  <c r="C27" i="11"/>
  <c r="C25" i="11"/>
  <c r="C28" i="10"/>
  <c r="F42" i="11"/>
  <c r="E8" i="11"/>
  <c r="E27" i="11" s="1"/>
  <c r="C8" i="22"/>
  <c r="E7" i="8" s="1"/>
  <c r="F52" i="6"/>
  <c r="F50" i="6"/>
  <c r="F53" i="6"/>
  <c r="F51" i="6"/>
  <c r="F43" i="6"/>
  <c r="M63" i="6" s="1"/>
  <c r="D28" i="10"/>
  <c r="E19" i="10"/>
  <c r="G8" i="14"/>
  <c r="E45" i="6"/>
  <c r="L110" i="6" s="1"/>
  <c r="H8" i="14"/>
  <c r="E36" i="22"/>
  <c r="E53" i="6"/>
  <c r="E52" i="6" s="1"/>
  <c r="E51" i="6"/>
  <c r="E50" i="6" s="1"/>
  <c r="E43" i="6"/>
  <c r="L70" i="6" s="1"/>
  <c r="C35" i="8"/>
  <c r="D30" i="8"/>
  <c r="E25" i="11"/>
  <c r="E8" i="14"/>
  <c r="D16" i="10"/>
  <c r="D15" i="10"/>
  <c r="E6" i="10"/>
  <c r="D14" i="10"/>
  <c r="D12" i="10"/>
  <c r="D13" i="10"/>
  <c r="D11" i="10"/>
  <c r="D8" i="10"/>
  <c r="C45" i="6"/>
  <c r="J107" i="6" s="1"/>
  <c r="E30" i="14"/>
  <c r="D35" i="14"/>
  <c r="D44" i="6"/>
  <c r="K82" i="6" s="1"/>
  <c r="C53" i="6"/>
  <c r="C52" i="6" s="1"/>
  <c r="C51" i="6"/>
  <c r="C50" i="6" s="1"/>
  <c r="C43" i="6"/>
  <c r="J70" i="6" s="1"/>
  <c r="C28" i="8"/>
  <c r="D19" i="8"/>
  <c r="F8" i="14"/>
  <c r="D45" i="6"/>
  <c r="K103" i="6" s="1"/>
  <c r="D35" i="10"/>
  <c r="E30" i="10"/>
  <c r="E44" i="6"/>
  <c r="L82" i="6" s="1"/>
  <c r="D8" i="14"/>
  <c r="E19" i="14"/>
  <c r="D28" i="14"/>
  <c r="F44" i="6"/>
  <c r="M90" i="6" s="1"/>
  <c r="C44" i="6"/>
  <c r="J85" i="6" s="1"/>
  <c r="D27" i="11"/>
  <c r="D25" i="11"/>
  <c r="F45" i="6"/>
  <c r="M111" i="6" s="1"/>
  <c r="D53" i="6"/>
  <c r="D52" i="6" s="1"/>
  <c r="D51" i="6"/>
  <c r="D50" i="6" s="1"/>
  <c r="D43" i="6"/>
  <c r="K67" i="6" s="1"/>
  <c r="E29" i="22"/>
  <c r="F8" i="11" l="1"/>
  <c r="F27" i="11" s="1"/>
  <c r="F28" i="11" s="1"/>
  <c r="G42" i="11"/>
  <c r="C30" i="11"/>
  <c r="C32" i="11" s="1"/>
  <c r="C28" i="11"/>
  <c r="C7" i="8"/>
  <c r="D7" i="8"/>
  <c r="E8" i="22"/>
  <c r="F30" i="11"/>
  <c r="F32" i="11" s="1"/>
  <c r="L99" i="6"/>
  <c r="L67" i="6"/>
  <c r="J110" i="6"/>
  <c r="M101" i="6"/>
  <c r="L68" i="6"/>
  <c r="L65" i="6"/>
  <c r="K105" i="6"/>
  <c r="K90" i="6"/>
  <c r="M67" i="6"/>
  <c r="L101" i="6"/>
  <c r="L107" i="6"/>
  <c r="M66" i="6"/>
  <c r="M83" i="6"/>
  <c r="K99" i="6"/>
  <c r="K111" i="6"/>
  <c r="M70" i="6"/>
  <c r="M85" i="6"/>
  <c r="M88" i="6"/>
  <c r="L84" i="6"/>
  <c r="M109" i="6"/>
  <c r="K81" i="6"/>
  <c r="L87" i="6"/>
  <c r="M91" i="6"/>
  <c r="M62" i="6"/>
  <c r="K86" i="6"/>
  <c r="M69" i="6"/>
  <c r="L81" i="6"/>
  <c r="K87" i="6"/>
  <c r="L88" i="6"/>
  <c r="M81" i="6"/>
  <c r="K85" i="6"/>
  <c r="J99" i="6"/>
  <c r="K70" i="6"/>
  <c r="L61" i="6"/>
  <c r="L63" i="6"/>
  <c r="J87" i="6"/>
  <c r="K69" i="6"/>
  <c r="K68" i="6"/>
  <c r="L69" i="6"/>
  <c r="K83" i="6"/>
  <c r="K84" i="6"/>
  <c r="M73" i="6"/>
  <c r="K91" i="6"/>
  <c r="K80" i="6"/>
  <c r="L64" i="6"/>
  <c r="M89" i="6"/>
  <c r="L104" i="6"/>
  <c r="L62" i="6"/>
  <c r="L80" i="6"/>
  <c r="L102" i="6"/>
  <c r="K71" i="6"/>
  <c r="L111" i="6"/>
  <c r="M65" i="6"/>
  <c r="L73" i="6"/>
  <c r="M61" i="6"/>
  <c r="K109" i="6"/>
  <c r="L109" i="6"/>
  <c r="M64" i="6"/>
  <c r="K65" i="6"/>
  <c r="L108" i="6"/>
  <c r="M71" i="6"/>
  <c r="L71" i="6"/>
  <c r="L66" i="6"/>
  <c r="M72" i="6"/>
  <c r="L79" i="6"/>
  <c r="L103" i="6"/>
  <c r="L83" i="6"/>
  <c r="L91" i="6"/>
  <c r="L100" i="6"/>
  <c r="M68" i="6"/>
  <c r="L72" i="6"/>
  <c r="M84" i="6"/>
  <c r="L106" i="6"/>
  <c r="L90" i="6"/>
  <c r="L85" i="6"/>
  <c r="L105" i="6"/>
  <c r="J68" i="6"/>
  <c r="J73" i="6"/>
  <c r="J66" i="6"/>
  <c r="J62" i="6"/>
  <c r="J71" i="6"/>
  <c r="J64" i="6"/>
  <c r="D28" i="11"/>
  <c r="D30" i="11"/>
  <c r="D32" i="11" s="1"/>
  <c r="M100" i="6"/>
  <c r="J100" i="6"/>
  <c r="J109" i="6"/>
  <c r="J111" i="6"/>
  <c r="J102" i="6"/>
  <c r="J106" i="6"/>
  <c r="J104" i="6"/>
  <c r="M110" i="6"/>
  <c r="M99" i="6"/>
  <c r="M104" i="6"/>
  <c r="M102" i="6"/>
  <c r="M106" i="6"/>
  <c r="C91" i="6"/>
  <c r="C111" i="6"/>
  <c r="J82" i="6"/>
  <c r="J80" i="6"/>
  <c r="J91" i="6"/>
  <c r="J86" i="6"/>
  <c r="J89" i="6"/>
  <c r="J84" i="6"/>
  <c r="J63" i="6"/>
  <c r="J61" i="6"/>
  <c r="F30" i="14"/>
  <c r="E35" i="14"/>
  <c r="E11" i="10"/>
  <c r="E8" i="10"/>
  <c r="E13" i="10"/>
  <c r="E10" i="10"/>
  <c r="E17" i="10" s="1"/>
  <c r="E16" i="10"/>
  <c r="E14" i="10"/>
  <c r="E12" i="10"/>
  <c r="F6" i="10"/>
  <c r="E15" i="10"/>
  <c r="E28" i="10"/>
  <c r="F19" i="10"/>
  <c r="F23" i="15"/>
  <c r="D2" i="4"/>
  <c r="C10" i="4"/>
  <c r="M107" i="6"/>
  <c r="J83" i="6"/>
  <c r="D35" i="8"/>
  <c r="E30" i="8"/>
  <c r="E35" i="8" s="1"/>
  <c r="M108" i="6"/>
  <c r="K104" i="6"/>
  <c r="K106" i="6"/>
  <c r="M103" i="6"/>
  <c r="K100" i="6"/>
  <c r="K66" i="6"/>
  <c r="J69" i="6"/>
  <c r="J79" i="6"/>
  <c r="K62" i="6"/>
  <c r="J67" i="6"/>
  <c r="F30" i="10"/>
  <c r="E35" i="10"/>
  <c r="K101" i="6"/>
  <c r="J101" i="6"/>
  <c r="K107" i="6"/>
  <c r="D111" i="6"/>
  <c r="D91" i="6"/>
  <c r="J103" i="6"/>
  <c r="K110" i="6"/>
  <c r="E28" i="11"/>
  <c r="E30" i="11"/>
  <c r="E32" i="11" s="1"/>
  <c r="M86" i="6"/>
  <c r="J108" i="6"/>
  <c r="J88" i="6"/>
  <c r="J72" i="6"/>
  <c r="J90" i="6"/>
  <c r="J81" i="6"/>
  <c r="J65" i="6"/>
  <c r="K72" i="6"/>
  <c r="K79" i="6"/>
  <c r="K108" i="6"/>
  <c r="K102" i="6"/>
  <c r="F91" i="6"/>
  <c r="F111" i="6"/>
  <c r="E28" i="14"/>
  <c r="F19" i="14"/>
  <c r="M105" i="6"/>
  <c r="K61" i="6"/>
  <c r="K63" i="6"/>
  <c r="M79" i="6"/>
  <c r="M82" i="6"/>
  <c r="E91" i="6"/>
  <c r="E111" i="6"/>
  <c r="L89" i="6"/>
  <c r="L86" i="6"/>
  <c r="D28" i="8"/>
  <c r="E19" i="8"/>
  <c r="J105" i="6"/>
  <c r="K88" i="6"/>
  <c r="D10" i="10"/>
  <c r="M87" i="6"/>
  <c r="K64" i="6"/>
  <c r="K89" i="6"/>
  <c r="M80" i="6"/>
  <c r="K73" i="6"/>
  <c r="H42" i="11" l="1"/>
  <c r="H8" i="11" s="1"/>
  <c r="H27" i="11" s="1"/>
  <c r="G8" i="11"/>
  <c r="G27" i="11" s="1"/>
  <c r="E28" i="8"/>
  <c r="E37" i="10"/>
  <c r="E39" i="10"/>
  <c r="F28" i="14"/>
  <c r="G19" i="14"/>
  <c r="F35" i="10"/>
  <c r="G30" i="10"/>
  <c r="F28" i="10"/>
  <c r="G19" i="10"/>
  <c r="F12" i="10"/>
  <c r="F10" i="10"/>
  <c r="F13" i="10"/>
  <c r="F16" i="10"/>
  <c r="F14" i="10"/>
  <c r="G6" i="10"/>
  <c r="F11" i="10"/>
  <c r="F15" i="10"/>
  <c r="F8" i="10"/>
  <c r="D17" i="10"/>
  <c r="D39" i="10"/>
  <c r="D37" i="10"/>
  <c r="D41" i="10"/>
  <c r="C10" i="14"/>
  <c r="C17" i="4"/>
  <c r="E10" i="4"/>
  <c r="C10" i="10"/>
  <c r="D40" i="4"/>
  <c r="E17" i="4"/>
  <c r="E40" i="4"/>
  <c r="C40" i="4"/>
  <c r="D38" i="4"/>
  <c r="E38" i="4"/>
  <c r="C38" i="4"/>
  <c r="E41" i="10"/>
  <c r="G30" i="14"/>
  <c r="F35" i="14"/>
  <c r="G30" i="11" l="1"/>
  <c r="G32" i="11" s="1"/>
  <c r="G28" i="11"/>
  <c r="F37" i="10"/>
  <c r="H28" i="11"/>
  <c r="H30" i="11"/>
  <c r="H32" i="11" s="1"/>
  <c r="F39" i="10"/>
  <c r="H30" i="14"/>
  <c r="H35" i="14" s="1"/>
  <c r="G35" i="14"/>
  <c r="G28" i="14"/>
  <c r="H19" i="14"/>
  <c r="H28" i="14" s="1"/>
  <c r="C17" i="10"/>
  <c r="C39" i="10"/>
  <c r="C41" i="10"/>
  <c r="C37" i="10"/>
  <c r="F41" i="10"/>
  <c r="F17" i="10"/>
  <c r="D10" i="14"/>
  <c r="C17" i="14"/>
  <c r="C41" i="14"/>
  <c r="C37" i="14"/>
  <c r="C39" i="14"/>
  <c r="G13" i="10"/>
  <c r="H6" i="10"/>
  <c r="G11" i="10"/>
  <c r="G16" i="10"/>
  <c r="G10" i="10"/>
  <c r="G12" i="10"/>
  <c r="G15" i="10"/>
  <c r="G8" i="10"/>
  <c r="G14" i="10"/>
  <c r="H19" i="10"/>
  <c r="H28" i="10" s="1"/>
  <c r="G28" i="10"/>
  <c r="G35" i="10"/>
  <c r="H30" i="10"/>
  <c r="H35" i="10" s="1"/>
  <c r="C7" i="22" a="1"/>
  <c r="C7" i="22" l="1"/>
  <c r="E7" i="22" s="1"/>
  <c r="G39" i="10"/>
  <c r="G41" i="10"/>
  <c r="G37" i="10"/>
  <c r="D17" i="14"/>
  <c r="E10" i="14"/>
  <c r="D37" i="14"/>
  <c r="D41" i="14"/>
  <c r="D39" i="14"/>
  <c r="H14" i="10"/>
  <c r="H12" i="10"/>
  <c r="H16" i="10"/>
  <c r="H10" i="10"/>
  <c r="H15" i="10"/>
  <c r="H11" i="10"/>
  <c r="H8" i="10"/>
  <c r="H13" i="10"/>
  <c r="G17" i="10"/>
  <c r="C11" i="22" l="1"/>
  <c r="D38" i="22" s="1"/>
  <c r="H39" i="10"/>
  <c r="E6" i="8"/>
  <c r="E10" i="8" s="1"/>
  <c r="C16" i="22"/>
  <c r="C15" i="8" s="1"/>
  <c r="D15" i="8" s="1"/>
  <c r="E15" i="8" s="1"/>
  <c r="E9" i="22"/>
  <c r="D36" i="22"/>
  <c r="D6" i="8"/>
  <c r="D10" i="8" s="1"/>
  <c r="D17" i="8" s="1"/>
  <c r="C13" i="22"/>
  <c r="C12" i="8" s="1"/>
  <c r="D12" i="8" s="1"/>
  <c r="E12" i="8" s="1"/>
  <c r="C9" i="22"/>
  <c r="C12" i="22"/>
  <c r="E12" i="22" s="1"/>
  <c r="D29" i="22"/>
  <c r="C14" i="22"/>
  <c r="E14" i="22" s="1"/>
  <c r="C17" i="22"/>
  <c r="E17" i="22" s="1"/>
  <c r="C6" i="8"/>
  <c r="C8" i="8" s="1"/>
  <c r="C15" i="22"/>
  <c r="C14" i="8" s="1"/>
  <c r="D14" i="8" s="1"/>
  <c r="E14" i="8" s="1"/>
  <c r="D8" i="8"/>
  <c r="H41" i="10"/>
  <c r="H17" i="10"/>
  <c r="E17" i="14"/>
  <c r="F10" i="14"/>
  <c r="E39" i="14"/>
  <c r="E37" i="14"/>
  <c r="E41" i="14"/>
  <c r="H37" i="10"/>
  <c r="C40" i="22" l="1"/>
  <c r="C18" i="22"/>
  <c r="D40" i="22"/>
  <c r="C38" i="22"/>
  <c r="C10" i="8"/>
  <c r="C17" i="8" s="1"/>
  <c r="E11" i="22"/>
  <c r="E18" i="22" s="1"/>
  <c r="E38" i="22" s="1"/>
  <c r="E40" i="22" s="1"/>
  <c r="E8" i="8"/>
  <c r="E17" i="8"/>
  <c r="E37" i="8"/>
  <c r="E16" i="22"/>
  <c r="E13" i="22"/>
  <c r="C11" i="8"/>
  <c r="D11" i="8" s="1"/>
  <c r="E11" i="8" s="1"/>
  <c r="C16" i="8"/>
  <c r="D16" i="8" s="1"/>
  <c r="E16" i="8" s="1"/>
  <c r="E15" i="22"/>
  <c r="C13" i="8"/>
  <c r="D13" i="8" s="1"/>
  <c r="E13" i="8" s="1"/>
  <c r="E39" i="8"/>
  <c r="E41" i="8"/>
  <c r="D39" i="8"/>
  <c r="D41" i="8"/>
  <c r="D37" i="8"/>
  <c r="C39" i="8"/>
  <c r="F17" i="14"/>
  <c r="G10" i="14"/>
  <c r="F37" i="14"/>
  <c r="F41" i="14"/>
  <c r="F39" i="14"/>
  <c r="C37" i="8" l="1"/>
  <c r="C41" i="8"/>
  <c r="G17" i="14"/>
  <c r="H10" i="14"/>
  <c r="G41" i="14"/>
  <c r="G39" i="14"/>
  <c r="G37" i="14"/>
  <c r="H17" i="14" l="1"/>
  <c r="H39" i="14"/>
  <c r="H41" i="14"/>
  <c r="H3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Berton-Rafael</author>
  </authors>
  <commentList>
    <comment ref="A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Anne Berton-Rafael:</t>
        </r>
        <r>
          <rPr>
            <sz val="9"/>
            <color indexed="81"/>
            <rFont val="Tahoma"/>
            <family val="2"/>
          </rPr>
          <t xml:space="preserve">
Same here, senarios should be entered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<sst xmlns="http://schemas.openxmlformats.org/spreadsheetml/2006/main" count="262" uniqueCount="168">
  <si>
    <t>Scénario 1</t>
  </si>
  <si>
    <t>*</t>
  </si>
  <si>
    <t>/ Mois</t>
  </si>
  <si>
    <t>Diff. max.</t>
  </si>
  <si>
    <t>Millet (g)</t>
  </si>
  <si>
    <t>Phase 2</t>
  </si>
  <si>
    <t>Marge bénéficiaire nette %</t>
  </si>
  <si>
    <t>Marge bénéficiaire nette</t>
  </si>
  <si>
    <t>Marge bénéficiaire brute</t>
  </si>
  <si>
    <t>Dépenses des biens d'équipement</t>
  </si>
  <si>
    <t>Dépenses de fonctionnement</t>
  </si>
  <si>
    <t>Salaire</t>
  </si>
  <si>
    <t>Coût des marchandises vendues (CMV)</t>
  </si>
  <si>
    <t>Recettes</t>
  </si>
  <si>
    <t>Faible</t>
  </si>
  <si>
    <t>Min.</t>
  </si>
  <si>
    <t>Calculateur du modèle d'affaires</t>
  </si>
  <si>
    <t>Hypothèses</t>
  </si>
  <si>
    <t>si&lt;0</t>
  </si>
  <si>
    <t>Emballage</t>
  </si>
  <si>
    <t>Autre</t>
  </si>
  <si>
    <t>Dépenses imprévues (10 %)</t>
  </si>
  <si>
    <t>OPEX</t>
  </si>
  <si>
    <t>Sécurité</t>
  </si>
  <si>
    <t xml:space="preserve">Marketing </t>
  </si>
  <si>
    <t>Broyage</t>
  </si>
  <si>
    <t>Prix des produits de base</t>
  </si>
  <si>
    <t>T1</t>
  </si>
  <si>
    <t>T2</t>
  </si>
  <si>
    <t>T3</t>
  </si>
  <si>
    <t>T4</t>
  </si>
  <si>
    <t>Prix unitaire</t>
  </si>
  <si>
    <t>Ventes à l'unité</t>
  </si>
  <si>
    <t>Moy</t>
  </si>
  <si>
    <t>Max.</t>
  </si>
  <si>
    <t>Unités / 1kg</t>
  </si>
  <si>
    <t>Coût moyen de la RBA</t>
  </si>
  <si>
    <t>Scénario 2</t>
  </si>
  <si>
    <t>Coût maximum de la RBA</t>
  </si>
  <si>
    <t>Coût minimal de la RBA</t>
  </si>
  <si>
    <t>Max / Moy (%)</t>
  </si>
  <si>
    <t>Max / Min (%)</t>
  </si>
  <si>
    <t>Coût de la RBA (kg)</t>
  </si>
  <si>
    <t>Moyenne</t>
  </si>
  <si>
    <t>Phases</t>
  </si>
  <si>
    <t>Sélectionner le MFE et l'appliquer à tous les scénarios</t>
  </si>
  <si>
    <t>Sélectionner le prix moyen du scénario et l'appliquer à tous les scénarios</t>
  </si>
  <si>
    <t>Dépenses</t>
  </si>
  <si>
    <t>marge du détaillant</t>
  </si>
  <si>
    <t>Marges</t>
  </si>
  <si>
    <t>Brute</t>
  </si>
  <si>
    <t>Nette</t>
  </si>
  <si>
    <t>si &gt;0</t>
  </si>
  <si>
    <t>si &gt;50%</t>
  </si>
  <si>
    <t>si &gt;0 mais &lt;30%</t>
  </si>
  <si>
    <t>si &gt;30% &amp; &lt; 50%</t>
  </si>
  <si>
    <t>Loyer / Mois</t>
  </si>
  <si>
    <t>Sécurité / Mois</t>
  </si>
  <si>
    <t>Prix (kg)</t>
  </si>
  <si>
    <t>Emballage (kg)</t>
  </si>
  <si>
    <t>Broyage (kg)</t>
  </si>
  <si>
    <t>Fixe</t>
  </si>
  <si>
    <t>Salaire / mois</t>
  </si>
  <si>
    <t>Personnel 2 / mois</t>
  </si>
  <si>
    <t>Personnel 3 / mois</t>
  </si>
  <si>
    <t>Personnel 1 / mois</t>
  </si>
  <si>
    <t>%</t>
  </si>
  <si>
    <t>Différence</t>
  </si>
  <si>
    <t>Loyer</t>
  </si>
  <si>
    <t>Poudre de feuilles de moringa</t>
  </si>
  <si>
    <t>RBA Nº</t>
  </si>
  <si>
    <t>Coût du produit de base (kg)</t>
  </si>
  <si>
    <t>années</t>
  </si>
  <si>
    <t>Ventes mensuelles (kg)</t>
  </si>
  <si>
    <t>/ US$</t>
  </si>
  <si>
    <t>US$</t>
  </si>
  <si>
    <t>CMV</t>
  </si>
  <si>
    <t>&lt;&lt;&lt; sélectionner à l'aide du menu déroulant</t>
  </si>
  <si>
    <t>Prix de vente unitaire (kg)</t>
  </si>
  <si>
    <t>/ kg (coût des ingrédients)</t>
  </si>
  <si>
    <t>Capex 1</t>
  </si>
  <si>
    <t>Capex 2</t>
  </si>
  <si>
    <t>Capex 3</t>
  </si>
  <si>
    <t>Capex 4</t>
  </si>
  <si>
    <t>Ventes annuelles (kg)</t>
  </si>
  <si>
    <t>Janvier - Mars</t>
  </si>
  <si>
    <t>Avril - Juin</t>
  </si>
  <si>
    <t>Juillet - Sept.</t>
  </si>
  <si>
    <t>Oct - Déc</t>
  </si>
  <si>
    <t>Ingrédient le plus cher</t>
  </si>
  <si>
    <t>Deuxième ingrédient le plus cher</t>
  </si>
  <si>
    <t>Prix / kg</t>
  </si>
  <si>
    <t>/ kg</t>
  </si>
  <si>
    <t xml:space="preserve">Volume des ventes </t>
  </si>
  <si>
    <t xml:space="preserve">Prix </t>
  </si>
  <si>
    <t>saisir les données dans les cellules teintées en bleu clair</t>
  </si>
  <si>
    <t xml:space="preserve">PHASE 6 : 
Coûts max. et min. des produits de base </t>
  </si>
  <si>
    <t>PHASE 1 : 
Élaborer un modèle d'affaires initial</t>
  </si>
  <si>
    <t>Phase 1.2 : Modéliser le coût des marchandises vendues</t>
  </si>
  <si>
    <t xml:space="preserve">1.2.2 Saisir les autres dépenses </t>
  </si>
  <si>
    <t>Phase 1.3 : Modéliser les coûts fixes de fonctionnement</t>
  </si>
  <si>
    <t>1.3.2 Saisir le loyer des installations / mois</t>
  </si>
  <si>
    <t>1.3.3 Saisir le coût de l'électricité / mois</t>
  </si>
  <si>
    <t>1.3.4 Saisir le coût de l'entrepôt / mois</t>
  </si>
  <si>
    <t>Étape 1.4 : Modéliser les coûts de personnel</t>
  </si>
  <si>
    <t>1.3.5 Saisir d'autres coûts / mois</t>
  </si>
  <si>
    <t>1.4.1 Liste des postes du personnel</t>
  </si>
  <si>
    <t xml:space="preserve">1.4.2 Liste du temps alloué au personnel </t>
  </si>
  <si>
    <t xml:space="preserve">1.4.3 Saisir les frais de personnel / mois </t>
  </si>
  <si>
    <t xml:space="preserve">Phase 1.5 : Saisir le taux de change </t>
  </si>
  <si>
    <t>Phase 1.6 : Biens d'équipement (Capex)</t>
  </si>
  <si>
    <t>Phase 1.1 : Modéliser les recettes</t>
  </si>
  <si>
    <t>Scénario de prix (Phase 3)</t>
  </si>
  <si>
    <t>Scénario de vente (Phase 4)</t>
  </si>
  <si>
    <t>&lt;&lt;&lt; facteur d'ajustement des prix</t>
  </si>
  <si>
    <t>&lt;&lt;&lt; facteur d'ajustement des ventes</t>
  </si>
  <si>
    <t>RBA</t>
  </si>
  <si>
    <t>MFE</t>
  </si>
  <si>
    <t xml:space="preserve">Coût du MFE : </t>
  </si>
  <si>
    <t>PHASE 0 : 
Préparation du Mélange à base de farine enrichie (MFE)</t>
  </si>
  <si>
    <t>Phase 0.1 : Importer le mélange à base de farine enrichie (MFE)
Copier et coller les valeurs de l'outil de calcul nutritionnel</t>
  </si>
  <si>
    <t>MFE Nº</t>
  </si>
  <si>
    <t>Phase 0.4 : Ingrédients les plus coûteux du MFE</t>
  </si>
  <si>
    <t>MFE 1</t>
  </si>
  <si>
    <t>MFE 2</t>
  </si>
  <si>
    <t>MFE 3</t>
  </si>
  <si>
    <t>MFE 4</t>
  </si>
  <si>
    <t>1.1.1 Saisir le volume des ventes de MFE</t>
  </si>
  <si>
    <t>1.1.2.  Saisir le prix de vente du MFE</t>
  </si>
  <si>
    <t xml:space="preserve">1.2.1 Sélection du MFE </t>
  </si>
  <si>
    <t>Sélectionner le MFE à l'aide du menu déroulant</t>
  </si>
  <si>
    <t>1.3.1 MFE en % de l'activité</t>
  </si>
  <si>
    <t>1.2.0 Facteur de perte</t>
  </si>
  <si>
    <t>Facteur de perte</t>
  </si>
  <si>
    <t>Calculé automatiquement (aucune saisie de données n'est nécessaire)</t>
  </si>
  <si>
    <t>Taux de change</t>
  </si>
  <si>
    <t>Phase 5</t>
  </si>
  <si>
    <t>Phase 0.2 : Saisir les prix des produits de base en monnaie locale / kg
saisir les prix dans les cellules bleues C27 à F39</t>
  </si>
  <si>
    <t>Phase 0.3 : Coût du MFE en monnaie locale / kg
Le vert est le moins cher, le jaune est le deuxième moins cher, le rouge est le plus cher.</t>
  </si>
  <si>
    <t>noter que les prix doivent être exprimés par kg</t>
  </si>
  <si>
    <t>Symbole de la monnaie locale</t>
  </si>
  <si>
    <t>Coût</t>
  </si>
  <si>
    <t>Période de remboursement</t>
  </si>
  <si>
    <t>Taux d'intérêt</t>
  </si>
  <si>
    <t>PHASE 2
Examen du modèle d'affaires initial</t>
  </si>
  <si>
    <t>PHASE 3 :
Élaborer des scénarios de prix
Saisir le facteur prix dans la cellule C2 pour générer des scénarios</t>
  </si>
  <si>
    <t>Biens d'équipement</t>
  </si>
  <si>
    <t>PHASE 4 : 
Élaborer des scénarios sur le volume des ventes
Saisir le facteur de volume des ventes dans la cellule C2 pour générer des scénarios.</t>
  </si>
  <si>
    <t>PHASE 5 : 
Adapter le modèle d'affaires
Sélectionner les prix et scénarios de vente</t>
  </si>
  <si>
    <t>Coût / kg</t>
  </si>
  <si>
    <t>Maïs (g)</t>
  </si>
  <si>
    <t>Souchet (g)</t>
  </si>
  <si>
    <t>Riz (g)</t>
  </si>
  <si>
    <t>Farine de blé (g)</t>
  </si>
  <si>
    <t>Soja (g)</t>
  </si>
  <si>
    <t>Arachide (g)</t>
  </si>
  <si>
    <t>Gingembre (g)</t>
  </si>
  <si>
    <t>Clou de girofle (g)</t>
  </si>
  <si>
    <t>Sésame (g)</t>
  </si>
  <si>
    <t>SUCRE AJOUTÉ (g)</t>
  </si>
  <si>
    <t>SEL AJOUTÉ (g)</t>
  </si>
  <si>
    <t>Élevée</t>
  </si>
  <si>
    <t>Gingembre</t>
  </si>
  <si>
    <t>RBA / 1kg</t>
  </si>
  <si>
    <t>% Coût des ingrédients</t>
  </si>
  <si>
    <t>Scénario 3</t>
  </si>
  <si>
    <t>Scénario 4</t>
  </si>
  <si>
    <t>Scénario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</si>
</sst>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&quot;£&quot;#,##0_);[Red]\(&quot;£&quot;#,##0\)"/>
    <numFmt numFmtId="166" formatCode="_(* #,##0_);_(* \(#,##0\);_(* &quot;-&quot;??_);_(@_)"/>
    <numFmt numFmtId="167" formatCode="&quot;£&quot;#,##0.00"/>
    <numFmt numFmtId="168" formatCode="&quot;£&quot;#,##0"/>
    <numFmt numFmtId="169" formatCode="[$₹-820]#,##0"/>
    <numFmt numFmtId="170" formatCode="&quot;£&quot;#,##0.0"/>
    <numFmt numFmtId="171" formatCode="#,##0\ [$CFA-280C]"/>
    <numFmt numFmtId="172" formatCode="#,##0\ [$CFA-280C];[Red]\-#,##0\ [$CFA-280C]"/>
    <numFmt numFmtId="173" formatCode="[$$-409]#,##0_);[Red]\([$$-409]#,##0\)"/>
    <numFmt numFmtId="174" formatCode="#,##0\ [$CFA-867]"/>
    <numFmt numFmtId="175" formatCode="[$$-409]#,##0"/>
    <numFmt numFmtId="176" formatCode="[$$-409]#,##0;[$$-409]#,##0"/>
  </numFmts>
  <fonts count="80">
    <font>
      <sz val="12"/>
      <color theme="1"/>
      <name val="Calibri"/>
      <family val="2"/>
      <scheme val="minor"/>
    </font>
    <font>
      <sz val="14"/>
      <color rgb="FFFFFFFF"/>
      <name val="Gill Sans"/>
      <family val="2"/>
    </font>
    <font>
      <b/>
      <sz val="14"/>
      <color rgb="FFFFFFFF"/>
      <name val="Gill Sans"/>
      <family val="2"/>
    </font>
    <font>
      <sz val="10"/>
      <color rgb="FF000000"/>
      <name val="Arial"/>
      <family val="2"/>
    </font>
    <font>
      <sz val="10"/>
      <color rgb="FF000000"/>
      <name val="Gill Sans"/>
      <family val="2"/>
    </font>
    <font>
      <b/>
      <sz val="10"/>
      <color rgb="FFFFFFFF"/>
      <name val="Gill Sans"/>
      <family val="2"/>
    </font>
    <font>
      <b/>
      <sz val="10"/>
      <name val="Gill Sans"/>
      <family val="2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sz val="12"/>
      <color rgb="FF00B0F0"/>
      <name val="Arial"/>
      <family val="2"/>
    </font>
    <font>
      <sz val="12"/>
      <name val="Arial"/>
      <family val="2"/>
    </font>
    <font>
      <sz val="12"/>
      <color theme="4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00B0F0"/>
      <name val="Arial"/>
      <family val="2"/>
    </font>
    <font>
      <i/>
      <sz val="10"/>
      <name val="Arial"/>
      <family val="2"/>
    </font>
    <font>
      <sz val="14"/>
      <name val="Gill Sans"/>
      <family val="2"/>
    </font>
    <font>
      <b/>
      <sz val="14"/>
      <name val="Gill Sans"/>
      <family val="2"/>
    </font>
    <font>
      <sz val="10"/>
      <name val="Arial"/>
      <family val="2"/>
    </font>
    <font>
      <sz val="10"/>
      <name val="Gill Sans"/>
      <family val="2"/>
    </font>
    <font>
      <b/>
      <sz val="11"/>
      <name val="Gill Sans"/>
      <family val="2"/>
    </font>
    <font>
      <sz val="11"/>
      <name val="Gill Sans"/>
      <family val="2"/>
    </font>
    <font>
      <sz val="12"/>
      <name val="Calibri"/>
      <family val="2"/>
      <scheme val="minor"/>
    </font>
    <font>
      <b/>
      <sz val="10"/>
      <color theme="4"/>
      <name val="Gill Sans"/>
      <family val="2"/>
    </font>
    <font>
      <b/>
      <sz val="12"/>
      <color theme="4"/>
      <name val="Arial"/>
      <family val="2"/>
    </font>
    <font>
      <b/>
      <sz val="10"/>
      <color rgb="FF000000"/>
      <name val="Gill Sans"/>
      <family val="2"/>
    </font>
    <font>
      <b/>
      <sz val="16"/>
      <name val="Arial"/>
      <family val="2"/>
    </font>
    <font>
      <b/>
      <sz val="12"/>
      <color rgb="FF00B0F0"/>
      <name val="Arial"/>
      <family val="2"/>
    </font>
    <font>
      <b/>
      <sz val="12"/>
      <name val="Arial"/>
      <family val="2"/>
    </font>
    <font>
      <b/>
      <i/>
      <sz val="10"/>
      <color rgb="FF00B0F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FFFF"/>
      <name val="Gill Sans"/>
      <family val="2"/>
    </font>
    <font>
      <sz val="12"/>
      <color rgb="FFFFFFFF"/>
      <name val="Gill Sans"/>
      <family val="2"/>
    </font>
    <font>
      <sz val="14"/>
      <color rgb="FF000000"/>
      <name val="Gill Sans"/>
      <family val="2"/>
    </font>
    <font>
      <sz val="14"/>
      <color theme="1"/>
      <name val="Calibri"/>
      <family val="2"/>
      <scheme val="minor"/>
    </font>
    <font>
      <b/>
      <sz val="14"/>
      <color rgb="FF000000"/>
      <name val="Gill Sans"/>
      <family val="2"/>
    </font>
    <font>
      <b/>
      <u/>
      <sz val="14"/>
      <color rgb="FF0000FF"/>
      <name val="Gill Sans"/>
      <family val="2"/>
    </font>
    <font>
      <b/>
      <sz val="16"/>
      <color rgb="FFFFFFFF"/>
      <name val="Gill Sans MT"/>
      <family val="2"/>
    </font>
    <font>
      <sz val="13"/>
      <color rgb="FFFFFFFF"/>
      <name val="Gill Sans MT"/>
      <family val="2"/>
    </font>
    <font>
      <b/>
      <sz val="16"/>
      <color theme="0"/>
      <name val="Gill Sans MT"/>
      <family val="2"/>
    </font>
    <font>
      <sz val="12"/>
      <color theme="1"/>
      <name val="Gill Sans MT"/>
      <family val="2"/>
    </font>
    <font>
      <b/>
      <sz val="14"/>
      <color rgb="FFFFFFFF"/>
      <name val="Gill Sans MT"/>
      <family val="2"/>
    </font>
    <font>
      <b/>
      <sz val="12"/>
      <color theme="4"/>
      <name val="Gill Sans MT"/>
      <family val="2"/>
    </font>
    <font>
      <sz val="14"/>
      <color rgb="FFFFFFFF"/>
      <name val="Gill Sans MT"/>
      <family val="2"/>
    </font>
    <font>
      <sz val="11"/>
      <color theme="1"/>
      <name val="Gill Sans MT"/>
      <family val="2"/>
    </font>
    <font>
      <sz val="11"/>
      <color rgb="FFFFFFFF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i/>
      <sz val="10"/>
      <color theme="1"/>
      <name val="Gill Sans MT"/>
      <family val="2"/>
    </font>
    <font>
      <i/>
      <sz val="12"/>
      <color theme="1"/>
      <name val="Gill Sans MT"/>
      <family val="2"/>
    </font>
    <font>
      <i/>
      <sz val="11"/>
      <color theme="1"/>
      <name val="Gill Sans MT"/>
      <family val="2"/>
    </font>
    <font>
      <sz val="14"/>
      <color theme="1"/>
      <name val="Gill Sans MT"/>
      <family val="2"/>
    </font>
    <font>
      <sz val="12"/>
      <color rgb="FFFFFFFF"/>
      <name val="Gill Sans MT"/>
      <family val="2"/>
    </font>
    <font>
      <b/>
      <sz val="12"/>
      <color rgb="FFFFFFFF"/>
      <name val="Gill Sans MT"/>
      <family val="2"/>
    </font>
    <font>
      <sz val="12"/>
      <color rgb="FF00B0F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sz val="12"/>
      <color theme="4"/>
      <name val="Gill Sans MT"/>
      <family val="2"/>
    </font>
    <font>
      <b/>
      <sz val="12"/>
      <color rgb="FF00B0F0"/>
      <name val="Gill Sans MT"/>
      <family val="2"/>
    </font>
    <font>
      <b/>
      <sz val="12"/>
      <color rgb="FF0070C0"/>
      <name val="Gill Sans MT"/>
      <family val="2"/>
    </font>
    <font>
      <sz val="12"/>
      <color rgb="FF000000"/>
      <name val="Gill Sans MT"/>
      <family val="2"/>
    </font>
    <font>
      <sz val="13"/>
      <color theme="1"/>
      <name val="Gill Sans MT"/>
      <family val="2"/>
    </font>
    <font>
      <sz val="13"/>
      <name val="Gill Sans MT"/>
      <family val="2"/>
    </font>
    <font>
      <sz val="13"/>
      <color rgb="FF00B0F0"/>
      <name val="Gill Sans MT"/>
      <family val="2"/>
    </font>
    <font>
      <b/>
      <sz val="13"/>
      <name val="Gill Sans MT"/>
      <family val="2"/>
    </font>
    <font>
      <b/>
      <sz val="13"/>
      <color theme="1"/>
      <name val="Gill Sans MT"/>
      <family val="2"/>
    </font>
    <font>
      <b/>
      <sz val="12"/>
      <name val="Gill Sans"/>
      <family val="2"/>
    </font>
    <font>
      <sz val="12"/>
      <name val="Gill Sans"/>
      <family val="2"/>
    </font>
    <font>
      <b/>
      <sz val="12"/>
      <color rgb="FF002E6C"/>
      <name val="Gill Sans MT"/>
      <family val="2"/>
    </font>
    <font>
      <sz val="16"/>
      <color rgb="FFFFFFFF"/>
      <name val="Gill Sans MT"/>
      <family val="2"/>
    </font>
    <font>
      <b/>
      <sz val="12"/>
      <color rgb="FF002F6C"/>
      <name val="Gill Sans MT"/>
      <family val="2"/>
    </font>
    <font>
      <sz val="12"/>
      <color rgb="FF000000"/>
      <name val="Gill Sans"/>
      <family val="2"/>
    </font>
    <font>
      <sz val="12"/>
      <color rgb="FF002F6C"/>
      <name val="Gill Sans MT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67B9"/>
        <bgColor indexed="64"/>
      </patternFill>
    </fill>
    <fill>
      <patternFill patternType="solid">
        <fgColor rgb="FFBA0C2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0A2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0CDC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2E6C"/>
        <bgColor indexed="64"/>
      </patternFill>
    </fill>
    <fill>
      <patternFill patternType="solid">
        <fgColor rgb="FF002F6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C6463"/>
        <bgColor rgb="FF434343"/>
      </patternFill>
    </fill>
    <fill>
      <patternFill patternType="solid">
        <fgColor rgb="FFD0CDC9"/>
        <bgColor rgb="FFCFCDC9"/>
      </patternFill>
    </fill>
    <fill>
      <patternFill patternType="solid">
        <fgColor rgb="FFCFCDC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77" fillId="0" borderId="0" applyFont="0" applyFill="0" applyBorder="0" applyAlignment="0" applyProtection="0"/>
    <xf numFmtId="164" fontId="77" fillId="0" borderId="0" applyFont="0" applyFill="0" applyBorder="0" applyAlignment="0" applyProtection="0"/>
  </cellStyleXfs>
  <cellXfs count="384">
    <xf numFmtId="0" fontId="0" fillId="0" borderId="0" xfId="0"/>
    <xf numFmtId="0" fontId="2" fillId="6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/>
    <xf numFmtId="166" fontId="5" fillId="0" borderId="0" xfId="2" applyNumberFormat="1" applyFont="1" applyFill="1" applyAlignment="1">
      <alignment horizontal="center" vertical="center"/>
    </xf>
    <xf numFmtId="166" fontId="6" fillId="0" borderId="0" xfId="2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9" fillId="0" borderId="0" xfId="0" applyFont="1"/>
    <xf numFmtId="0" fontId="10" fillId="0" borderId="0" xfId="0" applyFont="1"/>
    <xf numFmtId="166" fontId="7" fillId="0" borderId="0" xfId="0" applyNumberFormat="1" applyFont="1"/>
    <xf numFmtId="168" fontId="7" fillId="0" borderId="0" xfId="0" applyNumberFormat="1" applyFont="1"/>
    <xf numFmtId="0" fontId="9" fillId="0" borderId="1" xfId="0" applyFont="1" applyBorder="1"/>
    <xf numFmtId="0" fontId="7" fillId="0" borderId="0" xfId="0" applyFont="1" applyAlignment="1">
      <alignment horizontal="left" indent="1"/>
    </xf>
    <xf numFmtId="166" fontId="12" fillId="0" borderId="0" xfId="2" applyNumberFormat="1" applyFont="1"/>
    <xf numFmtId="168" fontId="12" fillId="0" borderId="0" xfId="0" applyNumberFormat="1" applyFont="1"/>
    <xf numFmtId="168" fontId="11" fillId="0" borderId="0" xfId="0" applyNumberFormat="1" applyFont="1"/>
    <xf numFmtId="169" fontId="11" fillId="0" borderId="0" xfId="0" applyNumberFormat="1" applyFont="1"/>
    <xf numFmtId="0" fontId="16" fillId="0" borderId="0" xfId="0" applyFont="1"/>
    <xf numFmtId="0" fontId="9" fillId="0" borderId="2" xfId="0" applyFont="1" applyBorder="1"/>
    <xf numFmtId="0" fontId="19" fillId="0" borderId="3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/>
    <xf numFmtId="0" fontId="24" fillId="0" borderId="3" xfId="0" applyFont="1" applyBorder="1"/>
    <xf numFmtId="166" fontId="21" fillId="0" borderId="3" xfId="2" applyNumberFormat="1" applyFont="1" applyFill="1" applyBorder="1" applyAlignment="1">
      <alignment horizontal="center"/>
    </xf>
    <xf numFmtId="9" fontId="21" fillId="0" borderId="3" xfId="1" applyFont="1" applyFill="1" applyBorder="1" applyAlignment="1">
      <alignment horizontal="center"/>
    </xf>
    <xf numFmtId="0" fontId="13" fillId="0" borderId="1" xfId="0" applyFont="1" applyBorder="1"/>
    <xf numFmtId="167" fontId="12" fillId="0" borderId="0" xfId="0" applyNumberFormat="1" applyFont="1"/>
    <xf numFmtId="9" fontId="14" fillId="0" borderId="0" xfId="1" applyFont="1" applyAlignment="1">
      <alignment horizontal="center"/>
    </xf>
    <xf numFmtId="9" fontId="0" fillId="0" borderId="0" xfId="1" applyFont="1"/>
    <xf numFmtId="166" fontId="12" fillId="0" borderId="0" xfId="2" applyNumberFormat="1" applyFont="1" applyFill="1"/>
    <xf numFmtId="0" fontId="19" fillId="0" borderId="0" xfId="0" applyFont="1" applyAlignment="1">
      <alignment horizontal="center" wrapText="1"/>
    </xf>
    <xf numFmtId="1" fontId="27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0" fontId="11" fillId="0" borderId="0" xfId="0" applyNumberFormat="1" applyFont="1"/>
    <xf numFmtId="168" fontId="9" fillId="0" borderId="0" xfId="0" applyNumberFormat="1" applyFont="1"/>
    <xf numFmtId="168" fontId="13" fillId="0" borderId="0" xfId="0" applyNumberFormat="1" applyFont="1"/>
    <xf numFmtId="165" fontId="9" fillId="0" borderId="0" xfId="0" applyNumberFormat="1" applyFont="1"/>
    <xf numFmtId="0" fontId="8" fillId="0" borderId="0" xfId="0" applyFont="1" applyAlignment="1">
      <alignment horizontal="left"/>
    </xf>
    <xf numFmtId="170" fontId="12" fillId="0" borderId="0" xfId="0" applyNumberFormat="1" applyFont="1"/>
    <xf numFmtId="0" fontId="26" fillId="0" borderId="0" xfId="0" applyFont="1" applyAlignment="1">
      <alignment horizontal="center" vertical="center"/>
    </xf>
    <xf numFmtId="1" fontId="11" fillId="0" borderId="0" xfId="0" applyNumberFormat="1" applyFont="1"/>
    <xf numFmtId="0" fontId="28" fillId="0" borderId="0" xfId="0" applyFont="1" applyAlignment="1">
      <alignment horizontal="left"/>
    </xf>
    <xf numFmtId="1" fontId="30" fillId="0" borderId="0" xfId="0" applyNumberFormat="1" applyFont="1"/>
    <xf numFmtId="170" fontId="30" fillId="0" borderId="0" xfId="0" applyNumberFormat="1" applyFont="1"/>
    <xf numFmtId="0" fontId="29" fillId="0" borderId="0" xfId="0" applyFont="1"/>
    <xf numFmtId="167" fontId="26" fillId="0" borderId="0" xfId="0" applyNumberFormat="1" applyFont="1"/>
    <xf numFmtId="168" fontId="26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9" fontId="3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166" fontId="11" fillId="0" borderId="0" xfId="2" applyNumberFormat="1" applyFont="1" applyFill="1"/>
    <xf numFmtId="0" fontId="13" fillId="0" borderId="0" xfId="0" applyFont="1"/>
    <xf numFmtId="2" fontId="12" fillId="0" borderId="0" xfId="0" applyNumberFormat="1" applyFont="1"/>
    <xf numFmtId="171" fontId="11" fillId="0" borderId="0" xfId="0" applyNumberFormat="1" applyFont="1"/>
    <xf numFmtId="0" fontId="7" fillId="0" borderId="6" xfId="0" applyFont="1" applyBorder="1"/>
    <xf numFmtId="2" fontId="12" fillId="0" borderId="6" xfId="0" applyNumberFormat="1" applyFont="1" applyBorder="1"/>
    <xf numFmtId="0" fontId="7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170" fontId="11" fillId="0" borderId="0" xfId="0" applyNumberFormat="1" applyFont="1" applyAlignment="1">
      <alignment horizontal="left" indent="2"/>
    </xf>
    <xf numFmtId="167" fontId="11" fillId="0" borderId="0" xfId="0" applyNumberFormat="1" applyFont="1" applyAlignment="1">
      <alignment horizontal="left" indent="2"/>
    </xf>
    <xf numFmtId="168" fontId="11" fillId="0" borderId="0" xfId="0" applyNumberFormat="1" applyFont="1" applyAlignment="1">
      <alignment horizontal="left" indent="2"/>
    </xf>
    <xf numFmtId="0" fontId="30" fillId="0" borderId="0" xfId="0" applyFont="1" applyAlignment="1">
      <alignment horizontal="left" vertical="center" indent="1"/>
    </xf>
    <xf numFmtId="166" fontId="32" fillId="0" borderId="0" xfId="0" applyNumberFormat="1" applyFont="1"/>
    <xf numFmtId="0" fontId="32" fillId="0" borderId="0" xfId="0" applyFont="1"/>
    <xf numFmtId="172" fontId="33" fillId="0" borderId="1" xfId="0" applyNumberFormat="1" applyFont="1" applyBorder="1"/>
    <xf numFmtId="166" fontId="32" fillId="0" borderId="0" xfId="2" applyNumberFormat="1" applyFont="1"/>
    <xf numFmtId="166" fontId="14" fillId="0" borderId="0" xfId="2" applyNumberFormat="1" applyFont="1"/>
    <xf numFmtId="9" fontId="14" fillId="0" borderId="0" xfId="1" applyFont="1" applyBorder="1"/>
    <xf numFmtId="172" fontId="33" fillId="0" borderId="2" xfId="0" applyNumberFormat="1" applyFont="1" applyBorder="1"/>
    <xf numFmtId="9" fontId="15" fillId="0" borderId="0" xfId="1" applyFont="1"/>
    <xf numFmtId="0" fontId="7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166" fontId="32" fillId="0" borderId="1" xfId="2" applyNumberFormat="1" applyFont="1" applyBorder="1"/>
    <xf numFmtId="0" fontId="7" fillId="3" borderId="0" xfId="0" applyFont="1" applyFill="1"/>
    <xf numFmtId="166" fontId="11" fillId="4" borderId="7" xfId="2" applyNumberFormat="1" applyFont="1" applyFill="1" applyBorder="1"/>
    <xf numFmtId="171" fontId="11" fillId="4" borderId="8" xfId="0" applyNumberFormat="1" applyFont="1" applyFill="1" applyBorder="1"/>
    <xf numFmtId="168" fontId="11" fillId="4" borderId="8" xfId="0" applyNumberFormat="1" applyFont="1" applyFill="1" applyBorder="1"/>
    <xf numFmtId="169" fontId="11" fillId="4" borderId="8" xfId="0" applyNumberFormat="1" applyFont="1" applyFill="1" applyBorder="1"/>
    <xf numFmtId="0" fontId="11" fillId="4" borderId="8" xfId="0" applyFont="1" applyFill="1" applyBorder="1"/>
    <xf numFmtId="0" fontId="17" fillId="4" borderId="8" xfId="0" applyFont="1" applyFill="1" applyBorder="1"/>
    <xf numFmtId="166" fontId="11" fillId="4" borderId="8" xfId="2" applyNumberFormat="1" applyFont="1" applyFill="1" applyBorder="1"/>
    <xf numFmtId="2" fontId="11" fillId="4" borderId="3" xfId="0" applyNumberFormat="1" applyFont="1" applyFill="1" applyBorder="1"/>
    <xf numFmtId="2" fontId="11" fillId="4" borderId="8" xfId="0" applyNumberFormat="1" applyFont="1" applyFill="1" applyBorder="1"/>
    <xf numFmtId="171" fontId="11" fillId="4" borderId="9" xfId="0" applyNumberFormat="1" applyFont="1" applyFill="1" applyBorder="1"/>
    <xf numFmtId="166" fontId="32" fillId="0" borderId="7" xfId="0" applyNumberFormat="1" applyFont="1" applyBorder="1"/>
    <xf numFmtId="166" fontId="32" fillId="0" borderId="8" xfId="0" applyNumberFormat="1" applyFont="1" applyBorder="1"/>
    <xf numFmtId="0" fontId="32" fillId="0" borderId="8" xfId="0" applyFont="1" applyBorder="1"/>
    <xf numFmtId="172" fontId="33" fillId="0" borderId="9" xfId="0" applyNumberFormat="1" applyFont="1" applyBorder="1"/>
    <xf numFmtId="166" fontId="32" fillId="0" borderId="8" xfId="2" applyNumberFormat="1" applyFont="1" applyBorder="1"/>
    <xf numFmtId="166" fontId="14" fillId="0" borderId="8" xfId="2" applyNumberFormat="1" applyFont="1" applyBorder="1"/>
    <xf numFmtId="9" fontId="15" fillId="0" borderId="8" xfId="1" applyFont="1" applyBorder="1"/>
    <xf numFmtId="166" fontId="32" fillId="0" borderId="9" xfId="2" applyNumberFormat="1" applyFont="1" applyBorder="1"/>
    <xf numFmtId="9" fontId="14" fillId="0" borderId="8" xfId="1" applyFont="1" applyBorder="1"/>
    <xf numFmtId="172" fontId="33" fillId="0" borderId="10" xfId="0" applyNumberFormat="1" applyFont="1" applyBorder="1"/>
    <xf numFmtId="9" fontId="14" fillId="0" borderId="9" xfId="1" applyFont="1" applyBorder="1" applyAlignment="1">
      <alignment horizontal="center"/>
    </xf>
    <xf numFmtId="171" fontId="12" fillId="0" borderId="6" xfId="0" applyNumberFormat="1" applyFont="1" applyBorder="1"/>
    <xf numFmtId="166" fontId="12" fillId="0" borderId="0" xfId="2" applyNumberFormat="1" applyFont="1" applyBorder="1"/>
    <xf numFmtId="9" fontId="26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26" fillId="5" borderId="11" xfId="1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71" fontId="11" fillId="4" borderId="5" xfId="0" applyNumberFormat="1" applyFont="1" applyFill="1" applyBorder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9" fillId="0" borderId="3" xfId="0" applyFont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9" fontId="23" fillId="0" borderId="3" xfId="1" applyFont="1" applyFill="1" applyBorder="1" applyAlignment="1">
      <alignment horizontal="center" vertical="center"/>
    </xf>
    <xf numFmtId="166" fontId="15" fillId="0" borderId="0" xfId="0" applyNumberFormat="1" applyFont="1"/>
    <xf numFmtId="0" fontId="15" fillId="0" borderId="0" xfId="0" applyFont="1"/>
    <xf numFmtId="9" fontId="9" fillId="0" borderId="0" xfId="1" applyFont="1" applyBorder="1"/>
    <xf numFmtId="0" fontId="7" fillId="0" borderId="0" xfId="0" applyFont="1" applyAlignment="1">
      <alignment vertical="center"/>
    </xf>
    <xf numFmtId="166" fontId="21" fillId="0" borderId="6" xfId="2" applyNumberFormat="1" applyFont="1" applyFill="1" applyBorder="1" applyAlignment="1">
      <alignment horizontal="center" vertical="center"/>
    </xf>
    <xf numFmtId="0" fontId="34" fillId="0" borderId="0" xfId="0" applyFont="1"/>
    <xf numFmtId="0" fontId="5" fillId="7" borderId="0" xfId="0" applyFont="1" applyFill="1" applyAlignment="1">
      <alignment horizontal="center" vertical="center" wrapText="1"/>
    </xf>
    <xf numFmtId="9" fontId="21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" fontId="0" fillId="0" borderId="0" xfId="0" applyNumberFormat="1"/>
    <xf numFmtId="166" fontId="21" fillId="0" borderId="0" xfId="1" applyNumberFormat="1" applyFont="1" applyFill="1" applyBorder="1" applyAlignment="1">
      <alignment horizontal="center"/>
    </xf>
    <xf numFmtId="9" fontId="21" fillId="0" borderId="0" xfId="1" applyFont="1" applyFill="1" applyBorder="1" applyAlignment="1">
      <alignment horizontal="center"/>
    </xf>
    <xf numFmtId="166" fontId="21" fillId="0" borderId="0" xfId="2" applyNumberFormat="1" applyFont="1" applyFill="1" applyBorder="1" applyAlignment="1">
      <alignment horizontal="center"/>
    </xf>
    <xf numFmtId="1" fontId="21" fillId="0" borderId="0" xfId="1" applyNumberFormat="1" applyFont="1" applyFill="1" applyBorder="1" applyAlignment="1">
      <alignment horizontal="center"/>
    </xf>
    <xf numFmtId="9" fontId="0" fillId="0" borderId="0" xfId="0" applyNumberFormat="1"/>
    <xf numFmtId="174" fontId="34" fillId="0" borderId="0" xfId="2" applyNumberFormat="1" applyFont="1" applyBorder="1"/>
    <xf numFmtId="175" fontId="3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0" fillId="8" borderId="0" xfId="0" applyFill="1"/>
    <xf numFmtId="2" fontId="7" fillId="0" borderId="0" xfId="0" applyNumberFormat="1" applyFont="1"/>
    <xf numFmtId="0" fontId="5" fillId="9" borderId="0" xfId="0" applyFont="1" applyFill="1" applyAlignment="1">
      <alignment horizontal="center" wrapText="1"/>
    </xf>
    <xf numFmtId="0" fontId="37" fillId="0" borderId="0" xfId="0" applyFont="1"/>
    <xf numFmtId="0" fontId="18" fillId="0" borderId="3" xfId="0" applyFont="1" applyBorder="1" applyAlignment="1">
      <alignment horizontal="center" vertical="center"/>
    </xf>
    <xf numFmtId="0" fontId="37" fillId="0" borderId="3" xfId="0" applyFont="1" applyBorder="1"/>
    <xf numFmtId="1" fontId="37" fillId="0" borderId="3" xfId="0" applyNumberFormat="1" applyFont="1" applyBorder="1" applyAlignment="1">
      <alignment horizontal="center"/>
    </xf>
    <xf numFmtId="0" fontId="38" fillId="0" borderId="0" xfId="0" applyFont="1"/>
    <xf numFmtId="0" fontId="37" fillId="0" borderId="0" xfId="0" applyFont="1" applyAlignment="1">
      <alignment wrapText="1"/>
    </xf>
    <xf numFmtId="49" fontId="39" fillId="0" borderId="3" xfId="0" applyNumberFormat="1" applyFont="1" applyBorder="1"/>
    <xf numFmtId="49" fontId="40" fillId="0" borderId="3" xfId="0" applyNumberFormat="1" applyFont="1" applyBorder="1"/>
    <xf numFmtId="0" fontId="43" fillId="0" borderId="0" xfId="0" applyFont="1" applyAlignment="1">
      <alignment horizontal="left"/>
    </xf>
    <xf numFmtId="0" fontId="44" fillId="0" borderId="0" xfId="0" applyFont="1"/>
    <xf numFmtId="1" fontId="46" fillId="10" borderId="11" xfId="1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vertical="center"/>
    </xf>
    <xf numFmtId="0" fontId="47" fillId="9" borderId="3" xfId="0" applyFont="1" applyFill="1" applyBorder="1" applyAlignment="1">
      <alignment horizontal="center" vertical="center" wrapText="1"/>
    </xf>
    <xf numFmtId="166" fontId="48" fillId="0" borderId="12" xfId="0" applyNumberFormat="1" applyFont="1" applyBorder="1"/>
    <xf numFmtId="166" fontId="44" fillId="0" borderId="0" xfId="0" applyNumberFormat="1" applyFont="1"/>
    <xf numFmtId="0" fontId="50" fillId="0" borderId="1" xfId="0" applyFont="1" applyBorder="1"/>
    <xf numFmtId="168" fontId="50" fillId="0" borderId="0" xfId="0" applyNumberFormat="1" applyFont="1"/>
    <xf numFmtId="0" fontId="48" fillId="0" borderId="0" xfId="0" applyFont="1"/>
    <xf numFmtId="0" fontId="44" fillId="0" borderId="0" xfId="0" applyFont="1" applyAlignment="1">
      <alignment horizontal="left" vertical="center" indent="1"/>
    </xf>
    <xf numFmtId="166" fontId="48" fillId="0" borderId="12" xfId="2" applyNumberFormat="1" applyFont="1" applyBorder="1"/>
    <xf numFmtId="168" fontId="44" fillId="0" borderId="0" xfId="0" applyNumberFormat="1" applyFont="1"/>
    <xf numFmtId="38" fontId="51" fillId="0" borderId="13" xfId="0" applyNumberFormat="1" applyFont="1" applyBorder="1" applyAlignment="1">
      <alignment horizontal="right"/>
    </xf>
    <xf numFmtId="166" fontId="48" fillId="0" borderId="0" xfId="2" applyNumberFormat="1" applyFont="1"/>
    <xf numFmtId="38" fontId="51" fillId="0" borderId="1" xfId="0" applyNumberFormat="1" applyFont="1" applyBorder="1" applyAlignment="1">
      <alignment horizontal="right"/>
    </xf>
    <xf numFmtId="9" fontId="52" fillId="0" borderId="0" xfId="1" applyFont="1"/>
    <xf numFmtId="0" fontId="44" fillId="0" borderId="1" xfId="0" applyFont="1" applyBorder="1"/>
    <xf numFmtId="0" fontId="44" fillId="0" borderId="6" xfId="0" applyFont="1" applyBorder="1"/>
    <xf numFmtId="0" fontId="53" fillId="0" borderId="6" xfId="0" applyFont="1" applyBorder="1"/>
    <xf numFmtId="166" fontId="48" fillId="0" borderId="6" xfId="2" applyNumberFormat="1" applyFont="1" applyBorder="1"/>
    <xf numFmtId="168" fontId="53" fillId="0" borderId="0" xfId="0" applyNumberFormat="1" applyFont="1"/>
    <xf numFmtId="0" fontId="50" fillId="0" borderId="2" xfId="0" applyFont="1" applyBorder="1"/>
    <xf numFmtId="38" fontId="51" fillId="0" borderId="2" xfId="0" applyNumberFormat="1" applyFont="1" applyBorder="1"/>
    <xf numFmtId="165" fontId="50" fillId="0" borderId="0" xfId="0" applyNumberFormat="1" applyFont="1"/>
    <xf numFmtId="0" fontId="54" fillId="0" borderId="0" xfId="0" applyFont="1"/>
    <xf numFmtId="0" fontId="50" fillId="0" borderId="0" xfId="0" applyFont="1"/>
    <xf numFmtId="9" fontId="54" fillId="0" borderId="0" xfId="1" applyFont="1" applyAlignment="1">
      <alignment horizontal="center"/>
    </xf>
    <xf numFmtId="0" fontId="55" fillId="0" borderId="0" xfId="0" applyFont="1"/>
    <xf numFmtId="0" fontId="47" fillId="6" borderId="0" xfId="0" applyFont="1" applyFill="1" applyAlignment="1">
      <alignment horizontal="right" vertical="center" wrapText="1"/>
    </xf>
    <xf numFmtId="0" fontId="4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right" vertical="center" wrapText="1"/>
    </xf>
    <xf numFmtId="1" fontId="47" fillId="6" borderId="0" xfId="0" applyNumberFormat="1" applyFont="1" applyFill="1" applyAlignment="1">
      <alignment horizontal="center" vertical="center" wrapText="1"/>
    </xf>
    <xf numFmtId="0" fontId="47" fillId="6" borderId="0" xfId="0" applyFont="1" applyFill="1" applyAlignment="1">
      <alignment vertical="center"/>
    </xf>
    <xf numFmtId="0" fontId="56" fillId="9" borderId="0" xfId="0" applyFont="1" applyFill="1" applyAlignment="1">
      <alignment horizontal="center" vertical="center" wrapText="1"/>
    </xf>
    <xf numFmtId="0" fontId="44" fillId="0" borderId="0" xfId="0" applyFont="1" applyAlignment="1">
      <alignment horizontal="left" inden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/>
    </xf>
    <xf numFmtId="166" fontId="60" fillId="0" borderId="0" xfId="2" applyNumberFormat="1" applyFont="1" applyFill="1"/>
    <xf numFmtId="166" fontId="61" fillId="0" borderId="0" xfId="2" applyNumberFormat="1" applyFont="1" applyFill="1"/>
    <xf numFmtId="0" fontId="50" fillId="0" borderId="0" xfId="0" applyFont="1" applyAlignment="1">
      <alignment horizontal="center" vertical="center"/>
    </xf>
    <xf numFmtId="166" fontId="46" fillId="0" borderId="0" xfId="2" applyNumberFormat="1" applyFont="1" applyFill="1" applyProtection="1">
      <protection locked="0"/>
    </xf>
    <xf numFmtId="170" fontId="61" fillId="0" borderId="0" xfId="0" applyNumberFormat="1" applyFont="1"/>
    <xf numFmtId="171" fontId="46" fillId="0" borderId="0" xfId="0" applyNumberFormat="1" applyFont="1" applyProtection="1">
      <protection locked="0"/>
    </xf>
    <xf numFmtId="3" fontId="59" fillId="0" borderId="3" xfId="0" applyNumberFormat="1" applyFont="1" applyBorder="1" applyAlignment="1" applyProtection="1">
      <alignment horizontal="center" vertical="top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8" fontId="61" fillId="0" borderId="0" xfId="0" applyNumberFormat="1" applyFont="1"/>
    <xf numFmtId="0" fontId="62" fillId="0" borderId="0" xfId="0" applyFont="1" applyAlignment="1">
      <alignment horizontal="center" vertical="center"/>
    </xf>
    <xf numFmtId="170" fontId="60" fillId="0" borderId="0" xfId="0" applyNumberFormat="1" applyFont="1"/>
    <xf numFmtId="170" fontId="59" fillId="0" borderId="0" xfId="0" applyNumberFormat="1" applyFont="1"/>
    <xf numFmtId="0" fontId="50" fillId="0" borderId="0" xfId="0" applyFont="1" applyAlignment="1">
      <alignment horizontal="left"/>
    </xf>
    <xf numFmtId="2" fontId="61" fillId="0" borderId="0" xfId="0" applyNumberFormat="1" applyFont="1"/>
    <xf numFmtId="0" fontId="50" fillId="0" borderId="0" xfId="0" applyFont="1" applyAlignment="1">
      <alignment horizontal="center"/>
    </xf>
    <xf numFmtId="0" fontId="62" fillId="0" borderId="0" xfId="0" applyFont="1"/>
    <xf numFmtId="0" fontId="63" fillId="0" borderId="0" xfId="0" applyFont="1" applyAlignment="1" applyProtection="1">
      <alignment horizontal="left" indent="1"/>
      <protection locked="0"/>
    </xf>
    <xf numFmtId="167" fontId="61" fillId="0" borderId="0" xfId="0" applyNumberFormat="1" applyFont="1"/>
    <xf numFmtId="167" fontId="46" fillId="0" borderId="0" xfId="0" applyNumberFormat="1" applyFont="1"/>
    <xf numFmtId="166" fontId="61" fillId="0" borderId="0" xfId="2" applyNumberFormat="1" applyFont="1"/>
    <xf numFmtId="168" fontId="46" fillId="0" borderId="0" xfId="0" applyNumberFormat="1" applyFont="1"/>
    <xf numFmtId="9" fontId="63" fillId="0" borderId="0" xfId="1" applyFont="1" applyFill="1" applyAlignment="1" applyProtection="1">
      <alignment horizontal="center" vertical="center"/>
      <protection locked="0"/>
    </xf>
    <xf numFmtId="166" fontId="60" fillId="0" borderId="0" xfId="2" applyNumberFormat="1" applyFont="1" applyFill="1" applyProtection="1">
      <protection locked="0"/>
    </xf>
    <xf numFmtId="9" fontId="60" fillId="0" borderId="0" xfId="1" applyFont="1" applyFill="1" applyAlignment="1" applyProtection="1">
      <alignment horizontal="center" vertical="center"/>
      <protection locked="0"/>
    </xf>
    <xf numFmtId="0" fontId="64" fillId="0" borderId="0" xfId="0" applyFont="1"/>
    <xf numFmtId="0" fontId="65" fillId="0" borderId="0" xfId="0" applyFont="1"/>
    <xf numFmtId="166" fontId="66" fillId="0" borderId="0" xfId="2" applyNumberFormat="1" applyFont="1" applyFill="1"/>
    <xf numFmtId="0" fontId="67" fillId="0" borderId="0" xfId="0" applyFont="1"/>
    <xf numFmtId="0" fontId="68" fillId="0" borderId="0" xfId="0" applyFont="1" applyAlignment="1">
      <alignment horizontal="center" vertical="center"/>
    </xf>
    <xf numFmtId="0" fontId="65" fillId="0" borderId="0" xfId="0" applyFont="1" applyAlignment="1">
      <alignment horizontal="left" indent="1"/>
    </xf>
    <xf numFmtId="0" fontId="69" fillId="0" borderId="0" xfId="0" applyFont="1"/>
    <xf numFmtId="0" fontId="69" fillId="0" borderId="0" xfId="0" applyFont="1" applyAlignment="1">
      <alignment horizontal="left" indent="1"/>
    </xf>
    <xf numFmtId="0" fontId="65" fillId="0" borderId="0" xfId="0" applyFont="1" applyAlignment="1">
      <alignment horizontal="center"/>
    </xf>
    <xf numFmtId="0" fontId="65" fillId="0" borderId="0" xfId="0" applyFont="1" applyAlignment="1">
      <alignment horizontal="left" indent="2"/>
    </xf>
    <xf numFmtId="167" fontId="66" fillId="0" borderId="0" xfId="0" applyNumberFormat="1" applyFont="1" applyAlignment="1">
      <alignment horizontal="left" indent="2"/>
    </xf>
    <xf numFmtId="0" fontId="68" fillId="0" borderId="0" xfId="0" applyFont="1" applyAlignment="1">
      <alignment horizontal="left" vertical="center" indent="1"/>
    </xf>
    <xf numFmtId="168" fontId="66" fillId="0" borderId="0" xfId="0" applyNumberFormat="1" applyFont="1" applyAlignment="1">
      <alignment horizontal="left" indent="2"/>
    </xf>
    <xf numFmtId="0" fontId="59" fillId="0" borderId="3" xfId="0" applyFont="1" applyBorder="1" applyAlignment="1">
      <alignment horizontal="center" vertical="center"/>
    </xf>
    <xf numFmtId="0" fontId="60" fillId="0" borderId="3" xfId="0" applyFont="1" applyBorder="1"/>
    <xf numFmtId="0" fontId="44" fillId="0" borderId="3" xfId="0" applyFont="1" applyBorder="1"/>
    <xf numFmtId="0" fontId="44" fillId="0" borderId="3" xfId="0" applyFont="1" applyBorder="1" applyAlignment="1">
      <alignment horizontal="center" vertical="center"/>
    </xf>
    <xf numFmtId="0" fontId="35" fillId="9" borderId="3" xfId="0" applyFont="1" applyFill="1" applyBorder="1" applyAlignment="1">
      <alignment horizontal="center" vertical="center" wrapText="1"/>
    </xf>
    <xf numFmtId="166" fontId="70" fillId="0" borderId="3" xfId="2" applyNumberFormat="1" applyFont="1" applyFill="1" applyBorder="1" applyAlignment="1">
      <alignment horizontal="center" vertical="center"/>
    </xf>
    <xf numFmtId="0" fontId="36" fillId="9" borderId="3" xfId="0" applyFont="1" applyFill="1" applyBorder="1" applyAlignment="1">
      <alignment horizontal="center" vertical="center" wrapText="1"/>
    </xf>
    <xf numFmtId="166" fontId="71" fillId="0" borderId="3" xfId="2" applyNumberFormat="1" applyFont="1" applyFill="1" applyBorder="1" applyAlignment="1">
      <alignment horizontal="center" vertical="center"/>
    </xf>
    <xf numFmtId="166" fontId="70" fillId="0" borderId="3" xfId="2" applyNumberFormat="1" applyFont="1" applyFill="1" applyBorder="1" applyAlignment="1">
      <alignment horizontal="center" vertical="center" wrapText="1"/>
    </xf>
    <xf numFmtId="166" fontId="44" fillId="0" borderId="12" xfId="2" applyNumberFormat="1" applyFont="1" applyBorder="1"/>
    <xf numFmtId="166" fontId="44" fillId="0" borderId="0" xfId="2" applyNumberFormat="1" applyFont="1"/>
    <xf numFmtId="38" fontId="50" fillId="0" borderId="1" xfId="0" applyNumberFormat="1" applyFont="1" applyBorder="1" applyAlignment="1">
      <alignment horizontal="right"/>
    </xf>
    <xf numFmtId="3" fontId="50" fillId="0" borderId="1" xfId="0" applyNumberFormat="1" applyFont="1" applyBorder="1" applyAlignment="1">
      <alignment horizontal="right"/>
    </xf>
    <xf numFmtId="9" fontId="53" fillId="0" borderId="0" xfId="1" applyFont="1"/>
    <xf numFmtId="166" fontId="44" fillId="0" borderId="6" xfId="2" applyNumberFormat="1" applyFont="1" applyBorder="1"/>
    <xf numFmtId="38" fontId="50" fillId="0" borderId="2" xfId="0" applyNumberFormat="1" applyFont="1" applyBorder="1"/>
    <xf numFmtId="0" fontId="53" fillId="0" borderId="0" xfId="0" applyFont="1"/>
    <xf numFmtId="9" fontId="53" fillId="0" borderId="0" xfId="1" applyFont="1" applyAlignment="1">
      <alignment horizontal="center"/>
    </xf>
    <xf numFmtId="166" fontId="44" fillId="11" borderId="14" xfId="2" applyNumberFormat="1" applyFont="1" applyFill="1" applyBorder="1"/>
    <xf numFmtId="38" fontId="50" fillId="11" borderId="15" xfId="0" applyNumberFormat="1" applyFont="1" applyFill="1" applyBorder="1" applyAlignment="1">
      <alignment horizontal="right"/>
    </xf>
    <xf numFmtId="3" fontId="50" fillId="11" borderId="15" xfId="2" applyNumberFormat="1" applyFont="1" applyFill="1" applyBorder="1" applyAlignment="1">
      <alignment horizontal="right"/>
    </xf>
    <xf numFmtId="9" fontId="53" fillId="11" borderId="14" xfId="1" applyFont="1" applyFill="1" applyBorder="1"/>
    <xf numFmtId="166" fontId="44" fillId="11" borderId="16" xfId="2" applyNumberFormat="1" applyFont="1" applyFill="1" applyBorder="1"/>
    <xf numFmtId="0" fontId="44" fillId="11" borderId="14" xfId="0" applyFont="1" applyFill="1" applyBorder="1"/>
    <xf numFmtId="38" fontId="50" fillId="11" borderId="17" xfId="0" applyNumberFormat="1" applyFont="1" applyFill="1" applyBorder="1"/>
    <xf numFmtId="9" fontId="53" fillId="11" borderId="18" xfId="1" applyFont="1" applyFill="1" applyBorder="1" applyAlignment="1">
      <alignment horizontal="center"/>
    </xf>
    <xf numFmtId="166" fontId="44" fillId="11" borderId="19" xfId="0" applyNumberFormat="1" applyFont="1" applyFill="1" applyBorder="1"/>
    <xf numFmtId="166" fontId="44" fillId="11" borderId="14" xfId="0" applyNumberFormat="1" applyFont="1" applyFill="1" applyBorder="1"/>
    <xf numFmtId="166" fontId="44" fillId="0" borderId="12" xfId="0" applyNumberFormat="1" applyFont="1" applyBorder="1"/>
    <xf numFmtId="38" fontId="50" fillId="0" borderId="13" xfId="0" applyNumberFormat="1" applyFont="1" applyBorder="1" applyAlignment="1">
      <alignment horizontal="right"/>
    </xf>
    <xf numFmtId="38" fontId="50" fillId="11" borderId="15" xfId="0" applyNumberFormat="1" applyFont="1" applyFill="1" applyBorder="1"/>
    <xf numFmtId="38" fontId="50" fillId="0" borderId="1" xfId="0" applyNumberFormat="1" applyFont="1" applyBorder="1"/>
    <xf numFmtId="0" fontId="56" fillId="7" borderId="0" xfId="0" applyFont="1" applyFill="1" applyAlignment="1">
      <alignment horizontal="center" vertical="center" wrapText="1"/>
    </xf>
    <xf numFmtId="166" fontId="52" fillId="0" borderId="0" xfId="0" applyNumberFormat="1" applyFont="1"/>
    <xf numFmtId="0" fontId="52" fillId="0" borderId="0" xfId="0" applyFont="1"/>
    <xf numFmtId="9" fontId="50" fillId="0" borderId="0" xfId="1" applyFont="1" applyBorder="1"/>
    <xf numFmtId="0" fontId="53" fillId="0" borderId="1" xfId="0" applyFont="1" applyBorder="1"/>
    <xf numFmtId="172" fontId="50" fillId="0" borderId="1" xfId="0" applyNumberFormat="1" applyFont="1" applyBorder="1"/>
    <xf numFmtId="166" fontId="53" fillId="0" borderId="0" xfId="2" applyNumberFormat="1" applyFont="1"/>
    <xf numFmtId="9" fontId="53" fillId="0" borderId="1" xfId="1" applyFont="1" applyBorder="1" applyAlignment="1">
      <alignment horizontal="center"/>
    </xf>
    <xf numFmtId="166" fontId="44" fillId="0" borderId="1" xfId="2" applyNumberFormat="1" applyFont="1" applyBorder="1" applyAlignment="1">
      <alignment horizontal="right"/>
    </xf>
    <xf numFmtId="166" fontId="44" fillId="0" borderId="1" xfId="2" applyNumberFormat="1" applyFont="1" applyBorder="1"/>
    <xf numFmtId="9" fontId="53" fillId="0" borderId="2" xfId="1" applyFont="1" applyBorder="1" applyAlignment="1">
      <alignment horizontal="center"/>
    </xf>
    <xf numFmtId="1" fontId="74" fillId="10" borderId="11" xfId="1" applyNumberFormat="1" applyFont="1" applyFill="1" applyBorder="1" applyAlignment="1" applyProtection="1">
      <alignment horizontal="center" vertical="center"/>
      <protection locked="0"/>
    </xf>
    <xf numFmtId="166" fontId="44" fillId="11" borderId="20" xfId="0" applyNumberFormat="1" applyFont="1" applyFill="1" applyBorder="1"/>
    <xf numFmtId="166" fontId="44" fillId="11" borderId="16" xfId="0" applyNumberFormat="1" applyFont="1" applyFill="1" applyBorder="1"/>
    <xf numFmtId="0" fontId="56" fillId="9" borderId="0" xfId="0" applyFont="1" applyFill="1" applyAlignment="1">
      <alignment horizontal="right" vertical="center" wrapText="1"/>
    </xf>
    <xf numFmtId="38" fontId="50" fillId="0" borderId="13" xfId="0" applyNumberFormat="1" applyFont="1" applyBorder="1"/>
    <xf numFmtId="1" fontId="74" fillId="5" borderId="11" xfId="1" applyNumberFormat="1" applyFont="1" applyFill="1" applyBorder="1" applyAlignment="1" applyProtection="1">
      <alignment horizontal="center" vertical="center"/>
      <protection locked="0"/>
    </xf>
    <xf numFmtId="0" fontId="56" fillId="9" borderId="3" xfId="0" applyFont="1" applyFill="1" applyBorder="1" applyAlignment="1">
      <alignment horizontal="center" vertical="center" wrapText="1"/>
    </xf>
    <xf numFmtId="166" fontId="48" fillId="0" borderId="8" xfId="0" applyNumberFormat="1" applyFont="1" applyBorder="1"/>
    <xf numFmtId="0" fontId="48" fillId="0" borderId="0" xfId="0" applyFont="1" applyAlignment="1">
      <alignment horizontal="left" indent="1"/>
    </xf>
    <xf numFmtId="166" fontId="49" fillId="7" borderId="0" xfId="2" applyNumberFormat="1" applyFont="1" applyFill="1" applyAlignment="1">
      <alignment horizontal="right" vertical="center" wrapText="1"/>
    </xf>
    <xf numFmtId="166" fontId="48" fillId="0" borderId="8" xfId="2" applyNumberFormat="1" applyFont="1" applyBorder="1"/>
    <xf numFmtId="38" fontId="51" fillId="0" borderId="9" xfId="0" applyNumberFormat="1" applyFont="1" applyBorder="1" applyAlignment="1">
      <alignment horizontal="right"/>
    </xf>
    <xf numFmtId="0" fontId="44" fillId="0" borderId="21" xfId="0" applyFont="1" applyBorder="1"/>
    <xf numFmtId="166" fontId="48" fillId="11" borderId="19" xfId="0" applyNumberFormat="1" applyFont="1" applyFill="1" applyBorder="1"/>
    <xf numFmtId="166" fontId="48" fillId="11" borderId="14" xfId="0" applyNumberFormat="1" applyFont="1" applyFill="1" applyBorder="1"/>
    <xf numFmtId="38" fontId="51" fillId="11" borderId="15" xfId="0" applyNumberFormat="1" applyFont="1" applyFill="1" applyBorder="1" applyAlignment="1">
      <alignment horizontal="right"/>
    </xf>
    <xf numFmtId="0" fontId="48" fillId="11" borderId="14" xfId="0" applyFont="1" applyFill="1" applyBorder="1"/>
    <xf numFmtId="166" fontId="48" fillId="11" borderId="16" xfId="2" applyNumberFormat="1" applyFont="1" applyFill="1" applyBorder="1"/>
    <xf numFmtId="9" fontId="52" fillId="11" borderId="14" xfId="1" applyFont="1" applyFill="1" applyBorder="1"/>
    <xf numFmtId="166" fontId="48" fillId="11" borderId="14" xfId="2" applyNumberFormat="1" applyFont="1" applyFill="1" applyBorder="1"/>
    <xf numFmtId="38" fontId="51" fillId="11" borderId="17" xfId="0" applyNumberFormat="1" applyFont="1" applyFill="1" applyBorder="1"/>
    <xf numFmtId="9" fontId="54" fillId="11" borderId="18" xfId="1" applyFont="1" applyFill="1" applyBorder="1" applyAlignment="1">
      <alignment horizontal="center"/>
    </xf>
    <xf numFmtId="0" fontId="35" fillId="6" borderId="0" xfId="0" applyFont="1" applyFill="1" applyAlignment="1">
      <alignment horizontal="center" vertical="center" wrapText="1"/>
    </xf>
    <xf numFmtId="166" fontId="74" fillId="5" borderId="3" xfId="2" applyNumberFormat="1" applyFont="1" applyFill="1" applyBorder="1" applyProtection="1">
      <protection locked="0"/>
    </xf>
    <xf numFmtId="9" fontId="74" fillId="5" borderId="3" xfId="1" applyFont="1" applyFill="1" applyBorder="1" applyProtection="1">
      <protection locked="0"/>
    </xf>
    <xf numFmtId="0" fontId="74" fillId="5" borderId="3" xfId="0" applyFont="1" applyFill="1" applyBorder="1" applyAlignment="1" applyProtection="1">
      <alignment horizontal="center" vertical="center"/>
      <protection locked="0"/>
    </xf>
    <xf numFmtId="0" fontId="76" fillId="5" borderId="0" xfId="0" applyFont="1" applyFill="1" applyAlignment="1" applyProtection="1">
      <alignment horizontal="left" indent="1"/>
      <protection locked="0"/>
    </xf>
    <xf numFmtId="3" fontId="74" fillId="5" borderId="0" xfId="0" applyNumberFormat="1" applyFont="1" applyFill="1" applyProtection="1">
      <protection locked="0"/>
    </xf>
    <xf numFmtId="9" fontId="74" fillId="5" borderId="0" xfId="1" applyFont="1" applyFill="1" applyProtection="1">
      <protection locked="0"/>
    </xf>
    <xf numFmtId="0" fontId="74" fillId="5" borderId="0" xfId="0" applyFont="1" applyFill="1" applyAlignment="1" applyProtection="1">
      <alignment horizontal="left" indent="1"/>
      <protection locked="0"/>
    </xf>
    <xf numFmtId="166" fontId="74" fillId="5" borderId="0" xfId="2" applyNumberFormat="1" applyFont="1" applyFill="1" applyProtection="1">
      <protection locked="0"/>
    </xf>
    <xf numFmtId="0" fontId="76" fillId="0" borderId="0" xfId="0" applyFont="1"/>
    <xf numFmtId="166" fontId="74" fillId="5" borderId="0" xfId="2" applyNumberFormat="1" applyFont="1" applyFill="1" applyAlignment="1" applyProtection="1">
      <alignment horizontal="center"/>
      <protection locked="0"/>
    </xf>
    <xf numFmtId="166" fontId="74" fillId="12" borderId="3" xfId="2" applyNumberFormat="1" applyFont="1" applyFill="1" applyBorder="1" applyProtection="1">
      <protection locked="0"/>
    </xf>
    <xf numFmtId="166" fontId="76" fillId="0" borderId="0" xfId="2" applyNumberFormat="1" applyFont="1" applyFill="1" applyBorder="1"/>
    <xf numFmtId="9" fontId="74" fillId="5" borderId="3" xfId="1" applyFont="1" applyFill="1" applyBorder="1" applyAlignment="1" applyProtection="1">
      <alignment horizontal="center"/>
      <protection locked="0"/>
    </xf>
    <xf numFmtId="164" fontId="50" fillId="0" borderId="1" xfId="2" applyFont="1" applyBorder="1" applyAlignment="1">
      <alignment horizontal="right"/>
    </xf>
    <xf numFmtId="166" fontId="44" fillId="0" borderId="0" xfId="2" applyNumberFormat="1" applyFont="1" applyFill="1"/>
    <xf numFmtId="39" fontId="50" fillId="0" borderId="1" xfId="2" applyNumberFormat="1" applyFont="1" applyBorder="1" applyAlignment="1">
      <alignment horizontal="right"/>
    </xf>
    <xf numFmtId="1" fontId="44" fillId="0" borderId="0" xfId="0" applyNumberFormat="1" applyFont="1"/>
    <xf numFmtId="172" fontId="50" fillId="0" borderId="0" xfId="0" applyNumberFormat="1" applyFont="1"/>
    <xf numFmtId="9" fontId="53" fillId="0" borderId="0" xfId="1" applyFont="1" applyBorder="1" applyAlignment="1">
      <alignment horizontal="center"/>
    </xf>
    <xf numFmtId="173" fontId="50" fillId="0" borderId="0" xfId="0" applyNumberFormat="1" applyFont="1"/>
    <xf numFmtId="166" fontId="44" fillId="0" borderId="6" xfId="2" applyNumberFormat="1" applyFont="1" applyBorder="1" applyAlignment="1">
      <alignment horizontal="right"/>
    </xf>
    <xf numFmtId="9" fontId="53" fillId="0" borderId="6" xfId="1" applyFont="1" applyBorder="1" applyAlignment="1">
      <alignment horizontal="center"/>
    </xf>
    <xf numFmtId="0" fontId="75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1" fillId="7" borderId="0" xfId="0" applyFont="1" applyFill="1" applyAlignment="1">
      <alignment horizontal="center" vertical="center" wrapText="1"/>
    </xf>
    <xf numFmtId="0" fontId="72" fillId="15" borderId="3" xfId="0" applyFont="1" applyFill="1" applyBorder="1" applyAlignment="1" applyProtection="1">
      <alignment horizontal="center"/>
      <protection locked="0"/>
    </xf>
    <xf numFmtId="0" fontId="35" fillId="16" borderId="0" xfId="0" applyFont="1" applyFill="1" applyAlignment="1" applyProtection="1">
      <alignment horizontal="center" vertical="center"/>
      <protection locked="0"/>
    </xf>
    <xf numFmtId="0" fontId="75" fillId="17" borderId="0" xfId="0" applyFont="1" applyFill="1" applyProtection="1">
      <protection locked="0"/>
    </xf>
    <xf numFmtId="49" fontId="75" fillId="17" borderId="0" xfId="0" applyNumberFormat="1" applyFont="1" applyFill="1" applyProtection="1">
      <protection locked="0"/>
    </xf>
    <xf numFmtId="49" fontId="55" fillId="18" borderId="0" xfId="0" applyNumberFormat="1" applyFont="1" applyFill="1" applyAlignment="1" applyProtection="1">
      <alignment wrapText="1"/>
      <protection locked="0"/>
    </xf>
    <xf numFmtId="166" fontId="74" fillId="15" borderId="0" xfId="2" applyNumberFormat="1" applyFont="1" applyFill="1" applyProtection="1">
      <protection locked="0"/>
    </xf>
    <xf numFmtId="9" fontId="74" fillId="15" borderId="0" xfId="1" applyFont="1" applyFill="1" applyAlignment="1" applyProtection="1">
      <alignment horizontal="center" vertical="center"/>
      <protection locked="0"/>
    </xf>
    <xf numFmtId="166" fontId="74" fillId="15" borderId="3" xfId="2" applyNumberFormat="1" applyFont="1" applyFill="1" applyBorder="1" applyProtection="1">
      <protection locked="0"/>
    </xf>
    <xf numFmtId="0" fontId="2" fillId="13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20" fillId="0" borderId="3" xfId="0" applyFont="1" applyBorder="1"/>
    <xf numFmtId="0" fontId="19" fillId="0" borderId="3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6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5" fillId="9" borderId="3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5" fillId="6" borderId="0" xfId="0" applyFont="1" applyFill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6" fillId="7" borderId="4" xfId="0" applyFont="1" applyFill="1" applyBorder="1" applyAlignment="1">
      <alignment horizontal="left" vertical="center" wrapText="1"/>
    </xf>
    <xf numFmtId="0" fontId="56" fillId="7" borderId="6" xfId="0" applyFont="1" applyFill="1" applyBorder="1" applyAlignment="1">
      <alignment horizontal="left" vertical="center" wrapText="1"/>
    </xf>
    <xf numFmtId="0" fontId="56" fillId="7" borderId="5" xfId="0" applyFont="1" applyFill="1" applyBorder="1" applyAlignment="1">
      <alignment horizontal="left" vertical="center" wrapText="1"/>
    </xf>
    <xf numFmtId="0" fontId="57" fillId="6" borderId="0" xfId="0" applyFont="1" applyFill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56" fillId="14" borderId="0" xfId="0" applyFont="1" applyFill="1" applyAlignment="1">
      <alignment horizontal="center" vertical="center" wrapText="1"/>
    </xf>
    <xf numFmtId="0" fontId="45" fillId="14" borderId="0" xfId="0" applyFont="1" applyFill="1" applyAlignment="1">
      <alignment horizontal="center" vertical="center" wrapText="1"/>
    </xf>
    <xf numFmtId="0" fontId="42" fillId="7" borderId="4" xfId="0" applyFont="1" applyFill="1" applyBorder="1" applyAlignment="1">
      <alignment horizontal="left" vertical="center" wrapText="1"/>
    </xf>
    <xf numFmtId="0" fontId="42" fillId="7" borderId="6" xfId="0" applyFont="1" applyFill="1" applyBorder="1" applyAlignment="1">
      <alignment horizontal="left" vertical="center" wrapText="1"/>
    </xf>
    <xf numFmtId="0" fontId="42" fillId="7" borderId="5" xfId="0" applyFont="1" applyFill="1" applyBorder="1" applyAlignment="1">
      <alignment horizontal="left" vertical="center" wrapText="1"/>
    </xf>
    <xf numFmtId="0" fontId="41" fillId="13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vertical="center" wrapText="1"/>
    </xf>
    <xf numFmtId="0" fontId="57" fillId="6" borderId="22" xfId="0" applyFont="1" applyFill="1" applyBorder="1" applyAlignment="1">
      <alignment horizontal="center" vertical="center" wrapText="1"/>
    </xf>
    <xf numFmtId="0" fontId="56" fillId="6" borderId="23" xfId="0" applyFont="1" applyFill="1" applyBorder="1" applyAlignment="1">
      <alignment horizontal="left" vertical="center" wrapText="1"/>
    </xf>
    <xf numFmtId="0" fontId="56" fillId="6" borderId="0" xfId="0" applyFont="1" applyFill="1" applyAlignment="1">
      <alignment horizontal="left" vertical="center" wrapText="1"/>
    </xf>
    <xf numFmtId="0" fontId="73" fillId="14" borderId="0" xfId="0" applyFont="1" applyFill="1" applyAlignment="1">
      <alignment horizontal="center" vertical="center" wrapText="1"/>
    </xf>
    <xf numFmtId="0" fontId="41" fillId="14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 wrapText="1"/>
    </xf>
    <xf numFmtId="0" fontId="56" fillId="6" borderId="22" xfId="0" applyFont="1" applyFill="1" applyBorder="1" applyAlignment="1">
      <alignment horizontal="center" vertical="center" wrapText="1"/>
    </xf>
    <xf numFmtId="0" fontId="47" fillId="6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76" fontId="44" fillId="0" borderId="1" xfId="0" applyNumberFormat="1" applyFont="1" applyBorder="1"/>
    <xf numFmtId="176" fontId="50" fillId="0" borderId="1" xfId="0" applyNumberFormat="1" applyFont="1" applyBorder="1"/>
    <xf numFmtId="176" fontId="50" fillId="0" borderId="2" xfId="0" applyNumberFormat="1" applyFont="1" applyBorder="1"/>
  </cellXfs>
  <cellStyles count="3">
    <cellStyle name="Comma" xfId="2" builtinId="3"/>
    <cellStyle name="Normal" xfId="0" builtinId="0"/>
    <cellStyle name="Percent" xfId="1" builtinId="5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343559</xdr:colOff>
      <xdr:row>44</xdr:row>
      <xdr:rowOff>60036</xdr:rowOff>
    </xdr:to>
    <xdr:sp macro="" textlink="" fLocksText="0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0" y="0"/>
          <a:ext cx="12230100" cy="843915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313732</xdr:colOff>
      <xdr:row>4</xdr:row>
      <xdr:rowOff>20782</xdr:rowOff>
    </xdr:from>
    <xdr:to>
      <xdr:col>4</xdr:col>
      <xdr:colOff>623201</xdr:colOff>
      <xdr:row>9</xdr:row>
      <xdr:rowOff>102445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81050"/>
          <a:ext cx="3962400" cy="1038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21936</xdr:rowOff>
    </xdr:from>
    <xdr:to>
      <xdr:col>13</xdr:col>
      <xdr:colOff>343559</xdr:colOff>
      <xdr:row>44</xdr:row>
      <xdr:rowOff>136236</xdr:rowOff>
    </xdr:to>
    <xdr:sp macro="" textlink="" fLocksText="0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0" y="6877050"/>
          <a:ext cx="12230100" cy="1638300"/>
        </a:xfrm>
        <a:prstGeom prst="rect">
          <a:avLst/>
        </a:prstGeom>
        <a:solidFill>
          <a:srgbClr val="BA0C2F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440731</xdr:colOff>
      <xdr:row>15</xdr:row>
      <xdr:rowOff>73891</xdr:rowOff>
    </xdr:from>
    <xdr:to>
      <xdr:col>11</xdr:col>
      <xdr:colOff>328663</xdr:colOff>
      <xdr:row>28</xdr:row>
      <xdr:rowOff>129309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8150" y="2933700"/>
          <a:ext cx="9953625" cy="253365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sz="3600" b="1" i="0">
              <a:latin typeface="Gill Sans MT" panose="020B0502020104020203" pitchFamily="34" charset="77"/>
            </a:rPr>
            <a:t>Calculateur du modèle d'affaires</a:t>
          </a:r>
        </a:p>
      </xdr:txBody>
    </xdr:sp>
    <xdr:clientData/>
  </xdr:twoCellAnchor>
  <xdr:twoCellAnchor>
    <xdr:from>
      <xdr:col>0</xdr:col>
      <xdr:colOff>415331</xdr:colOff>
      <xdr:row>39</xdr:row>
      <xdr:rowOff>21899</xdr:rowOff>
    </xdr:from>
    <xdr:to>
      <xdr:col>4</xdr:col>
      <xdr:colOff>776717</xdr:colOff>
      <xdr:row>41</xdr:row>
      <xdr:rowOff>9136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19100" y="7448550"/>
          <a:ext cx="40195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r>
            <a:rPr lang="en-US" sz="1400" b="1" i="0">
              <a:solidFill>
                <a:schemeClr val="bg1"/>
              </a:solidFill>
              <a:latin typeface="Gill Sans MT" panose="020B0502020104020203" pitchFamily="34" charset="77"/>
            </a:rPr>
            <a:t>USAID ADVANCING NUTRITION</a:t>
          </a:r>
        </a:p>
      </xdr:txBody>
    </xdr:sp>
    <xdr:clientData/>
  </xdr:twoCellAnchor>
  <xdr:twoCellAnchor>
    <xdr:from>
      <xdr:col>11</xdr:col>
      <xdr:colOff>314710</xdr:colOff>
      <xdr:row>39</xdr:row>
      <xdr:rowOff>21899</xdr:rowOff>
    </xdr:from>
    <xdr:to>
      <xdr:col>12</xdr:col>
      <xdr:colOff>624447</xdr:colOff>
      <xdr:row>41</xdr:row>
      <xdr:rowOff>9136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372725" y="7448550"/>
          <a:ext cx="1228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pPr algn="r"/>
          <a:r>
            <a:rPr lang="en-US" sz="1400" b="0" i="0">
              <a:solidFill>
                <a:schemeClr val="bg1"/>
              </a:solidFill>
              <a:latin typeface="Gill Sans MT" panose="020B0502020104020203" pitchFamily="34" charset="77"/>
            </a:rPr>
            <a:t>Octobre 2023</a:t>
          </a:r>
        </a:p>
      </xdr:txBody>
    </xdr:sp>
    <xdr:clientData/>
  </xdr:twoCellAnchor>
  <xdr:twoCellAnchor>
    <xdr:from>
      <xdr:col>5</xdr:col>
      <xdr:colOff>70733</xdr:colOff>
      <xdr:row>38</xdr:row>
      <xdr:rowOff>151550</xdr:rowOff>
    </xdr:from>
    <xdr:to>
      <xdr:col>10</xdr:col>
      <xdr:colOff>392673</xdr:colOff>
      <xdr:row>41</xdr:row>
      <xdr:rowOff>82684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38675" y="7391400"/>
          <a:ext cx="48958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r>
            <a:rPr lang="en-US" sz="800">
              <a:solidFill>
                <a:schemeClr val="bg1"/>
              </a:solidFill>
              <a:latin typeface="+mn-lt"/>
              <a:ea typeface="+mn-ea"/>
              <a:cs typeface="+mn-cs"/>
            </a:rPr>
            <a:t>Ce document a été rendu possible grâce au généreux soutien du peuple américain à travers l’Agence des États-Unis pour le développement international (USAID). Le contenu relève de la responsabilité de JSI Research &amp; Training Institute, Inc. (JSI) et ne reflète pas nécessairement les opinions de l'USAID ou du gouvernement des États-Unis.</a:t>
          </a:r>
        </a:p>
      </xdr:txBody>
    </xdr:sp>
    <xdr:clientData/>
  </xdr:twoCellAnchor>
  <xdr:twoCellAnchor>
    <xdr:from>
      <xdr:col>0</xdr:col>
      <xdr:colOff>0</xdr:colOff>
      <xdr:row>35</xdr:row>
      <xdr:rowOff>198340</xdr:rowOff>
    </xdr:from>
    <xdr:to>
      <xdr:col>13</xdr:col>
      <xdr:colOff>343559</xdr:colOff>
      <xdr:row>35</xdr:row>
      <xdr:rowOff>198340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0" y="6858000"/>
          <a:ext cx="12230100" cy="0"/>
        </a:xfrm>
        <a:prstGeom prst="line">
          <a:avLst/>
        </a:prstGeom>
        <a:ln w="92075">
          <a:solidFill>
            <a:srgbClr val="0067B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800100</xdr:colOff>
      <xdr:row>0</xdr:row>
      <xdr:rowOff>12700</xdr:rowOff>
    </xdr:from>
    <xdr:to>
      <xdr:col>13</xdr:col>
      <xdr:colOff>317500</xdr:colOff>
      <xdr:row>15</xdr:row>
      <xdr:rowOff>190500</xdr:rowOff>
    </xdr:to>
    <xdr:sp macro="" textlink="" fLocksText="0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772900" y="9525"/>
          <a:ext cx="428625" cy="3038475"/>
        </a:xfrm>
        <a:prstGeom prst="rect">
          <a:avLst/>
        </a:prstGeom>
        <a:solidFill>
          <a:srgbClr val="0067B9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88900</xdr:colOff>
      <xdr:row>0</xdr:row>
      <xdr:rowOff>0</xdr:rowOff>
    </xdr:from>
    <xdr:to>
      <xdr:col>13</xdr:col>
      <xdr:colOff>432459</xdr:colOff>
      <xdr:row>44</xdr:row>
      <xdr:rowOff>60036</xdr:rowOff>
    </xdr:to>
    <xdr:sp macro="" textlink="" fLocksText="0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85725" y="0"/>
          <a:ext cx="12230100" cy="8439150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313732</xdr:colOff>
      <xdr:row>4</xdr:row>
      <xdr:rowOff>20782</xdr:rowOff>
    </xdr:from>
    <xdr:to>
      <xdr:col>4</xdr:col>
      <xdr:colOff>623201</xdr:colOff>
      <xdr:row>9</xdr:row>
      <xdr:rowOff>102445</xdr:rowOff>
    </xdr:to>
    <xdr:pic>
      <xdr:nvPicPr>
        <xdr:cNvPr id="13" name="Picture 12" descr="Logo : Agence des États-Unis pour le développement international (USAID). Du peuple américain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781050"/>
          <a:ext cx="3962400" cy="1038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21936</xdr:rowOff>
    </xdr:from>
    <xdr:to>
      <xdr:col>13</xdr:col>
      <xdr:colOff>343559</xdr:colOff>
      <xdr:row>44</xdr:row>
      <xdr:rowOff>136236</xdr:rowOff>
    </xdr:to>
    <xdr:sp macro="" textlink="" fLocksText="0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0" y="6877050"/>
          <a:ext cx="12230100" cy="1638300"/>
        </a:xfrm>
        <a:prstGeom prst="rect">
          <a:avLst/>
        </a:prstGeom>
        <a:solidFill>
          <a:srgbClr val="BA0C2F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161331</xdr:colOff>
      <xdr:row>10</xdr:row>
      <xdr:rowOff>117071</xdr:rowOff>
    </xdr:from>
    <xdr:to>
      <xdr:col>11</xdr:col>
      <xdr:colOff>49263</xdr:colOff>
      <xdr:row>30</xdr:row>
      <xdr:rowOff>175260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61331" y="2098271"/>
          <a:ext cx="8856672" cy="402058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en-US" sz="3600" b="1" i="0">
              <a:latin typeface="Gill Sans MT" panose="020B0502020104020203" pitchFamily="34" charset="77"/>
            </a:rPr>
            <a:t>Outil de calcul du modèle d'affaires</a:t>
          </a:r>
        </a:p>
        <a:p>
          <a:pPr>
            <a:defRPr lang="en-US" sz="3600" b="1" i="0">
              <a:latin typeface="Gill Sans MT" panose="020B0502020104020203" pitchFamily="34" charset="77"/>
            </a:defRPr>
          </a:pPr>
          <a:endParaRPr/>
        </a:p>
        <a:p>
          <a:pPr>
            <a:defRPr lang="en-US" sz="3600" b="1" i="0">
              <a:latin typeface="Gill Sans MT" panose="020B0502020104020203" pitchFamily="34" charset="77"/>
            </a:defRPr>
          </a:pPr>
          <a:r>
            <a:rPr lang="en-US" sz="3600" b="1" i="0">
              <a:latin typeface="Gill Sans MT" panose="020B0502020104020203" pitchFamily="34" charset="77"/>
            </a:rPr>
            <a:t>Fait partie du guide Optimiser les régimes alimentaires en utilisant des aliments locaux pour améliorer la nutrition des femmes et des enfants</a:t>
          </a:r>
        </a:p>
        <a:p>
          <a:pPr>
            <a:defRPr lang="en-US" sz="3600" b="1" i="0">
              <a:latin typeface="Gill Sans MT" panose="020B0502020104020203" pitchFamily="34" charset="77"/>
            </a:defRPr>
          </a:pPr>
          <a:endParaRPr/>
        </a:p>
        <a:p>
          <a:pPr>
            <a:defRPr lang="en-US" sz="3600" b="1" i="0">
              <a:latin typeface="Gill Sans MT" panose="020B0502020104020203" pitchFamily="34" charset="77"/>
            </a:defRPr>
          </a:pPr>
          <a:endParaRPr/>
        </a:p>
        <a:p>
          <a:pPr>
            <a:defRPr lang="en-US" sz="3600" b="1" i="0">
              <a:latin typeface="Gill Sans MT" panose="020B0502020104020203" pitchFamily="34" charset="77"/>
            </a:defRPr>
          </a:pPr>
          <a:endParaRPr/>
        </a:p>
        <a:p>
          <a:pPr>
            <a:defRPr lang="en-US" sz="3600" b="1" i="0">
              <a:latin typeface="Gill Sans MT" panose="020B0502020104020203" pitchFamily="34" charset="77"/>
            </a:defRPr>
          </a:pPr>
          <a:endParaRPr/>
        </a:p>
      </xdr:txBody>
    </xdr:sp>
    <xdr:clientData/>
  </xdr:twoCellAnchor>
  <xdr:twoCellAnchor>
    <xdr:from>
      <xdr:col>0</xdr:col>
      <xdr:colOff>415331</xdr:colOff>
      <xdr:row>39</xdr:row>
      <xdr:rowOff>21899</xdr:rowOff>
    </xdr:from>
    <xdr:to>
      <xdr:col>4</xdr:col>
      <xdr:colOff>776717</xdr:colOff>
      <xdr:row>41</xdr:row>
      <xdr:rowOff>9136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19100" y="7448550"/>
          <a:ext cx="40195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r>
            <a:rPr lang="en-US" sz="1400" b="1" i="0">
              <a:solidFill>
                <a:schemeClr val="bg1"/>
              </a:solidFill>
              <a:latin typeface="Gill Sans MT" panose="020B0502020104020203" pitchFamily="34" charset="77"/>
            </a:rPr>
            <a:t>USAID ADVANCING NUTRITION</a:t>
          </a:r>
        </a:p>
      </xdr:txBody>
    </xdr:sp>
    <xdr:clientData/>
  </xdr:twoCellAnchor>
  <xdr:twoCellAnchor>
    <xdr:from>
      <xdr:col>11</xdr:col>
      <xdr:colOff>314710</xdr:colOff>
      <xdr:row>39</xdr:row>
      <xdr:rowOff>21899</xdr:rowOff>
    </xdr:from>
    <xdr:to>
      <xdr:col>12</xdr:col>
      <xdr:colOff>624447</xdr:colOff>
      <xdr:row>41</xdr:row>
      <xdr:rowOff>9136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372725" y="7448550"/>
          <a:ext cx="12287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pPr algn="r"/>
          <a:r>
            <a:rPr lang="en-US" sz="1400" b="0" i="0">
              <a:solidFill>
                <a:schemeClr val="bg1"/>
              </a:solidFill>
              <a:latin typeface="Gill Sans MT" panose="020B0502020104020203" pitchFamily="34" charset="77"/>
            </a:rPr>
            <a:t>Octobre 2023</a:t>
          </a:r>
        </a:p>
      </xdr:txBody>
    </xdr:sp>
    <xdr:clientData/>
  </xdr:twoCellAnchor>
  <xdr:twoCellAnchor>
    <xdr:from>
      <xdr:col>5</xdr:col>
      <xdr:colOff>70733</xdr:colOff>
      <xdr:row>38</xdr:row>
      <xdr:rowOff>151550</xdr:rowOff>
    </xdr:from>
    <xdr:to>
      <xdr:col>10</xdr:col>
      <xdr:colOff>392673</xdr:colOff>
      <xdr:row>42</xdr:row>
      <xdr:rowOff>53340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147433" y="7680110"/>
          <a:ext cx="4398640" cy="6942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0" tIns="0" rIns="0" bIns="0" anchor="ctr" anchorCtr="0"/>
        <a:lstStyle/>
        <a:p>
          <a:r>
            <a:rPr lang="en-US" sz="800">
              <a:solidFill>
                <a:schemeClr val="bg1"/>
              </a:solidFill>
              <a:latin typeface="+mn-lt"/>
              <a:ea typeface="+mn-ea"/>
              <a:cs typeface="+mn-cs"/>
            </a:rPr>
            <a:t>Ce document a été rendu possible grâce au généreux soutien du peuple américain à travers l’Agence des États-Unis pour le développement international (USAID). Le contenu relève de la responsabilité de JSI Research &amp; Training Institute, Inc. (JSI) et ne reflète pas nécessairement les opinions de l'USAID ou du gouvernement des États-Unis.</a:t>
          </a:r>
        </a:p>
      </xdr:txBody>
    </xdr:sp>
    <xdr:clientData/>
  </xdr:twoCellAnchor>
  <xdr:twoCellAnchor>
    <xdr:from>
      <xdr:col>0</xdr:col>
      <xdr:colOff>0</xdr:colOff>
      <xdr:row>35</xdr:row>
      <xdr:rowOff>198340</xdr:rowOff>
    </xdr:from>
    <xdr:to>
      <xdr:col>13</xdr:col>
      <xdr:colOff>343559</xdr:colOff>
      <xdr:row>35</xdr:row>
      <xdr:rowOff>198340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0" y="6858000"/>
          <a:ext cx="12230100" cy="0"/>
        </a:xfrm>
        <a:prstGeom prst="line">
          <a:avLst/>
        </a:prstGeom>
        <a:ln w="92075">
          <a:solidFill>
            <a:srgbClr val="0067B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800100</xdr:colOff>
      <xdr:row>0</xdr:row>
      <xdr:rowOff>12700</xdr:rowOff>
    </xdr:from>
    <xdr:to>
      <xdr:col>13</xdr:col>
      <xdr:colOff>317500</xdr:colOff>
      <xdr:row>15</xdr:row>
      <xdr:rowOff>190500</xdr:rowOff>
    </xdr:to>
    <xdr:sp macro="" textlink="" fLocksText="0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772900" y="9525"/>
          <a:ext cx="428625" cy="3038475"/>
        </a:xfrm>
        <a:prstGeom prst="rect">
          <a:avLst/>
        </a:prstGeom>
        <a:solidFill>
          <a:srgbClr val="002F6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182880</xdr:colOff>
      <xdr:row>20</xdr:row>
      <xdr:rowOff>121920</xdr:rowOff>
    </xdr:from>
    <xdr:to>
      <xdr:col>14</xdr:col>
      <xdr:colOff>81280</xdr:colOff>
      <xdr:row>33</xdr:row>
      <xdr:rowOff>193040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336280" y="4084320"/>
          <a:ext cx="3159760" cy="2646680"/>
        </a:xfrm>
        <a:prstGeom prst="rect">
          <a:avLst/>
        </a:prstGeom>
        <a:solidFill>
          <a:srgbClr val="002F6C"/>
        </a:solidFill>
        <a:ln w="6350">
          <a:noFill/>
        </a:ln>
      </xdr:spPr>
      <xdr:txBody>
        <a:bodyPr vert="horz" wrap="square" lIns="91440" tIns="45720" rIns="91440" bIns="45720" fromWordArt="0" anchor="t" anchorCtr="0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600"/>
            </a:spcAft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Le Guide d'optimisation des régimes alimentaires comprend 7 parties : </a:t>
          </a:r>
          <a:endParaRPr lang="en-US" sz="1200">
            <a:solidFill>
              <a:srgbClr val="000000"/>
            </a:solidFill>
            <a:latin typeface="Cambria" panose="02040503050406030204" pitchFamily="18" charset="0"/>
            <a:ea typeface="Cambria" panose="02040503050406030204" pitchFamily="18" charset="0"/>
            <a:cs typeface="Cambria" panose="02040503050406030204" pitchFamily="18" charset="0"/>
          </a:endParaRP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Vue d’ensemble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Outil Excel d'optimisation des régimes alimentaires locaux (ORA)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Manuel d'instruction pour l'outil ORA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Cahier d'exercices sur le parcours des ménages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Cahier d'exercices sur le parcours du marché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Outil Excel de calcul du modèle d'affaires (CMA) </a:t>
          </a:r>
        </a:p>
        <a:p>
          <a:pPr>
            <a:def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defRPr>
          </a:pPr>
          <a:r>
            <a:rPr lang="en-US" sz="1200" b="1">
              <a:solidFill>
                <a:srgbClr val="FFFFFF"/>
              </a:solidFill>
              <a:latin typeface="Gill Sans MT" panose="020B0502020104020203" pitchFamily="34" charset="0"/>
              <a:ea typeface="Cambria" panose="02040503050406030204" pitchFamily="18" charset="0"/>
              <a:cs typeface="Cambria" panose="02040503050406030204" pitchFamily="18" charset="0"/>
            </a:rPr>
            <a:t>Manuel d'instruction pour CMA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zoomScale="80" zoomScaleNormal="80" workbookViewId="0">
      <selection activeCell="A48" sqref="A48:XFD1048576"/>
    </sheetView>
  </sheetViews>
  <sheetFormatPr defaultColWidth="0" defaultRowHeight="15.75" zeroHeight="1"/>
  <cols>
    <col min="1" max="15" width="10.75" customWidth="1"/>
    <col min="16" max="16384" width="9" hidden="1"/>
  </cols>
  <sheetData>
    <row r="1" spans="1:13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>
      <c r="A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3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3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</row>
    <row r="20" spans="1:13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</row>
    <row r="26" spans="1:13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</row>
    <row r="27" spans="1:13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</row>
    <row r="28" spans="1:13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13">
      <c r="A32" s="145"/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1:13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145"/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1:13">
      <c r="A37" s="145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1:13">
      <c r="A38" s="145"/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1:13">
      <c r="A39" s="145"/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3">
      <c r="A40" s="145"/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3">
      <c r="A41" s="145"/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1:13">
      <c r="A42" s="145"/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1:13">
      <c r="A43" s="145"/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  <row r="44" spans="1:13">
      <c r="A44" s="145"/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</row>
    <row r="45" spans="1:13">
      <c r="A45" s="145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</row>
    <row r="46" spans="1:13"/>
    <row r="47" spans="1:13"/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T112"/>
  <sheetViews>
    <sheetView zoomScale="80" zoomScaleNormal="80" workbookViewId="0">
      <selection activeCell="O1" sqref="O1:XFD1048576"/>
    </sheetView>
  </sheetViews>
  <sheetFormatPr defaultColWidth="0" defaultRowHeight="15.75"/>
  <cols>
    <col min="1" max="1" width="12.75" customWidth="1"/>
    <col min="2" max="2" width="30.25" customWidth="1"/>
    <col min="3" max="3" width="13" customWidth="1"/>
    <col min="4" max="5" width="12.25" customWidth="1"/>
    <col min="6" max="6" width="17.5" customWidth="1"/>
    <col min="7" max="7" width="15" customWidth="1"/>
    <col min="8" max="8" width="23" hidden="1" customWidth="1"/>
    <col min="9" max="9" width="17.75" hidden="1" customWidth="1"/>
    <col min="10" max="11" width="10.75" hidden="1" customWidth="1"/>
    <col min="12" max="12" width="15.25" hidden="1" customWidth="1"/>
    <col min="13" max="13" width="14.75" hidden="1" customWidth="1"/>
    <col min="14" max="14" width="4.75" hidden="1" customWidth="1"/>
    <col min="15" max="15" width="10.75" hidden="1" customWidth="1"/>
    <col min="16" max="16" width="13.75" hidden="1" customWidth="1"/>
    <col min="17" max="17" width="12.75" hidden="1" customWidth="1"/>
    <col min="18" max="18" width="13.75" hidden="1" customWidth="1"/>
    <col min="19" max="20" width="0" hidden="1" customWidth="1"/>
    <col min="21" max="16384" width="10.75" hidden="1"/>
  </cols>
  <sheetData>
    <row r="1" spans="1:17" ht="55.15" customHeight="1">
      <c r="A1" s="332" t="s">
        <v>119</v>
      </c>
      <c r="B1" s="333"/>
      <c r="C1" s="333"/>
      <c r="D1" s="333"/>
      <c r="E1" s="333"/>
      <c r="F1" s="333"/>
      <c r="G1" s="10"/>
      <c r="H1" s="334" t="s">
        <v>163</v>
      </c>
      <c r="I1" s="335"/>
      <c r="J1" s="335"/>
      <c r="K1" s="335"/>
      <c r="L1" s="335"/>
      <c r="M1" s="336"/>
    </row>
    <row r="3" spans="1:17" ht="57.6" customHeight="1">
      <c r="A3" s="342" t="s">
        <v>120</v>
      </c>
      <c r="B3" s="342"/>
      <c r="C3" s="342"/>
      <c r="D3" s="342"/>
      <c r="E3" s="342"/>
      <c r="F3" s="342"/>
      <c r="G3" s="10"/>
      <c r="H3" s="334" t="s">
        <v>163</v>
      </c>
      <c r="I3" s="335"/>
      <c r="J3" s="335"/>
      <c r="K3" s="335"/>
      <c r="L3" s="335"/>
      <c r="M3" s="336"/>
    </row>
    <row r="4" spans="1:17" ht="15" customHeight="1">
      <c r="A4" s="144"/>
      <c r="B4" s="144"/>
      <c r="C4" s="144"/>
      <c r="D4" s="144"/>
      <c r="E4" s="144"/>
      <c r="F4" s="144"/>
      <c r="G4" s="10"/>
      <c r="H4" s="7"/>
      <c r="I4" s="6"/>
      <c r="J4" s="6"/>
      <c r="K4" s="6"/>
      <c r="L4" s="6"/>
      <c r="M4" s="5"/>
    </row>
    <row r="5" spans="1:17" ht="29.1" customHeight="1">
      <c r="A5" s="354" t="s">
        <v>121</v>
      </c>
      <c r="B5" s="354"/>
      <c r="C5" s="298">
        <v>1</v>
      </c>
      <c r="D5" s="298">
        <v>2</v>
      </c>
      <c r="E5" s="298">
        <v>3</v>
      </c>
      <c r="F5" s="298">
        <v>4</v>
      </c>
      <c r="G5" s="8"/>
      <c r="H5" s="339"/>
      <c r="I5" s="339"/>
      <c r="J5" s="28">
        <v>1</v>
      </c>
      <c r="K5" s="28">
        <v>2</v>
      </c>
      <c r="L5" s="28">
        <v>3</v>
      </c>
      <c r="M5" s="28">
        <v>4</v>
      </c>
      <c r="O5" s="41"/>
      <c r="P5" s="41"/>
      <c r="Q5" s="41"/>
    </row>
    <row r="6" spans="1:17" ht="18">
      <c r="A6" s="355"/>
      <c r="B6" s="355"/>
      <c r="C6" s="147"/>
      <c r="D6" s="147"/>
      <c r="E6" s="147"/>
      <c r="F6" s="147"/>
      <c r="G6" s="8"/>
      <c r="H6" s="4"/>
      <c r="I6" s="4"/>
      <c r="J6" s="28">
        <f>SUM(C7:C19)</f>
        <v>0</v>
      </c>
      <c r="K6" s="28">
        <f t="shared" ref="K6:M6" si="0">SUM(D7:D19)</f>
        <v>0</v>
      </c>
      <c r="L6" s="28">
        <f t="shared" si="0"/>
        <v>0</v>
      </c>
      <c r="M6" s="28">
        <f t="shared" si="0"/>
        <v>0</v>
      </c>
    </row>
    <row r="7" spans="1:17" s="152" customFormat="1" ht="25.15" customHeight="1">
      <c r="A7" s="325"/>
      <c r="B7" s="326"/>
      <c r="C7" s="321"/>
      <c r="D7" s="321"/>
      <c r="E7" s="321"/>
      <c r="F7" s="322"/>
      <c r="G7" s="148"/>
      <c r="H7" s="337" t="s">
        <v>35</v>
      </c>
      <c r="I7" s="337"/>
      <c r="J7" s="42" t="e">
        <f>1000/J6</f>
        <v>#DIV/0!</v>
      </c>
      <c r="K7" s="42" t="e">
        <f t="shared" ref="K7:M7" si="1">1000/K6</f>
        <v>#DIV/0!</v>
      </c>
      <c r="L7" s="42" t="e">
        <f t="shared" si="1"/>
        <v>#DIV/0!</v>
      </c>
      <c r="M7" s="42" t="e">
        <f t="shared" si="1"/>
        <v>#DIV/0!</v>
      </c>
    </row>
    <row r="8" spans="1:17" s="152" customFormat="1" ht="25.15" customHeight="1">
      <c r="A8" s="325"/>
      <c r="B8" s="326"/>
      <c r="C8" s="321"/>
      <c r="D8" s="321"/>
      <c r="E8" s="321"/>
      <c r="F8" s="322"/>
      <c r="G8" s="148"/>
      <c r="H8" s="149">
        <v>1</v>
      </c>
      <c r="I8" s="150" t="s">
        <v>4</v>
      </c>
      <c r="J8" s="151" t="e">
        <f t="shared" ref="J8:J20" si="2">C7*$J$7</f>
        <v>#DIV/0!</v>
      </c>
      <c r="K8" s="151" t="e">
        <f t="shared" ref="K8:K20" si="3">D7*$K$7</f>
        <v>#DIV/0!</v>
      </c>
      <c r="L8" s="151" t="e">
        <f t="shared" ref="L8:L20" si="4">E7*$L$7</f>
        <v>#DIV/0!</v>
      </c>
      <c r="M8" s="151" t="e">
        <f t="shared" ref="M8:M20" si="5">F7*$M$7</f>
        <v>#DIV/0!</v>
      </c>
    </row>
    <row r="9" spans="1:17" s="152" customFormat="1" ht="25.15" customHeight="1">
      <c r="A9" s="325"/>
      <c r="B9" s="326"/>
      <c r="C9" s="321"/>
      <c r="D9" s="321"/>
      <c r="E9" s="321"/>
      <c r="F9" s="322"/>
      <c r="G9" s="148"/>
      <c r="H9" s="149">
        <v>2</v>
      </c>
      <c r="I9" s="150" t="s">
        <v>150</v>
      </c>
      <c r="J9" s="151" t="e">
        <f t="shared" si="2"/>
        <v>#DIV/0!</v>
      </c>
      <c r="K9" s="151" t="e">
        <f t="shared" si="3"/>
        <v>#DIV/0!</v>
      </c>
      <c r="L9" s="151" t="e">
        <f t="shared" si="4"/>
        <v>#DIV/0!</v>
      </c>
      <c r="M9" s="151" t="e">
        <f t="shared" si="5"/>
        <v>#DIV/0!</v>
      </c>
    </row>
    <row r="10" spans="1:17" s="152" customFormat="1" ht="25.15" customHeight="1">
      <c r="A10" s="325"/>
      <c r="B10" s="326"/>
      <c r="C10" s="321"/>
      <c r="D10" s="321"/>
      <c r="E10" s="321"/>
      <c r="F10" s="322"/>
      <c r="G10" s="148"/>
      <c r="H10" s="149">
        <v>3</v>
      </c>
      <c r="I10" s="150" t="s">
        <v>151</v>
      </c>
      <c r="J10" s="151" t="e">
        <f t="shared" si="2"/>
        <v>#DIV/0!</v>
      </c>
      <c r="K10" s="151" t="e">
        <f t="shared" si="3"/>
        <v>#DIV/0!</v>
      </c>
      <c r="L10" s="151" t="e">
        <f t="shared" si="4"/>
        <v>#DIV/0!</v>
      </c>
      <c r="M10" s="151" t="e">
        <f t="shared" si="5"/>
        <v>#DIV/0!</v>
      </c>
    </row>
    <row r="11" spans="1:17" s="152" customFormat="1" ht="25.15" customHeight="1">
      <c r="A11" s="325"/>
      <c r="B11" s="326"/>
      <c r="C11" s="321"/>
      <c r="D11" s="321"/>
      <c r="E11" s="321"/>
      <c r="F11" s="322"/>
      <c r="G11" s="148"/>
      <c r="H11" s="149">
        <v>4</v>
      </c>
      <c r="I11" s="150" t="s">
        <v>152</v>
      </c>
      <c r="J11" s="151" t="e">
        <f t="shared" si="2"/>
        <v>#DIV/0!</v>
      </c>
      <c r="K11" s="151" t="e">
        <f t="shared" si="3"/>
        <v>#DIV/0!</v>
      </c>
      <c r="L11" s="151" t="e">
        <f t="shared" si="4"/>
        <v>#DIV/0!</v>
      </c>
      <c r="M11" s="151" t="e">
        <f t="shared" si="5"/>
        <v>#DIV/0!</v>
      </c>
    </row>
    <row r="12" spans="1:17" s="152" customFormat="1" ht="25.15" customHeight="1">
      <c r="A12" s="325"/>
      <c r="B12" s="326"/>
      <c r="C12" s="321"/>
      <c r="D12" s="321"/>
      <c r="E12" s="321"/>
      <c r="F12" s="322"/>
      <c r="G12" s="148"/>
      <c r="H12" s="149">
        <v>5</v>
      </c>
      <c r="I12" s="150" t="s">
        <v>153</v>
      </c>
      <c r="J12" s="151" t="e">
        <f t="shared" si="2"/>
        <v>#DIV/0!</v>
      </c>
      <c r="K12" s="151" t="e">
        <f t="shared" si="3"/>
        <v>#DIV/0!</v>
      </c>
      <c r="L12" s="151" t="e">
        <f t="shared" si="4"/>
        <v>#DIV/0!</v>
      </c>
      <c r="M12" s="151" t="e">
        <f t="shared" si="5"/>
        <v>#DIV/0!</v>
      </c>
    </row>
    <row r="13" spans="1:17" s="152" customFormat="1" ht="25.15" customHeight="1">
      <c r="A13" s="325"/>
      <c r="B13" s="326"/>
      <c r="C13" s="321"/>
      <c r="D13" s="321"/>
      <c r="E13" s="321"/>
      <c r="F13" s="322"/>
      <c r="G13" s="148"/>
      <c r="H13" s="149">
        <v>6</v>
      </c>
      <c r="I13" s="150" t="s">
        <v>154</v>
      </c>
      <c r="J13" s="151" t="e">
        <f t="shared" si="2"/>
        <v>#DIV/0!</v>
      </c>
      <c r="K13" s="151" t="e">
        <f t="shared" si="3"/>
        <v>#DIV/0!</v>
      </c>
      <c r="L13" s="151" t="e">
        <f t="shared" si="4"/>
        <v>#DIV/0!</v>
      </c>
      <c r="M13" s="151" t="e">
        <f t="shared" si="5"/>
        <v>#DIV/0!</v>
      </c>
    </row>
    <row r="14" spans="1:17" s="152" customFormat="1" ht="25.15" customHeight="1">
      <c r="A14" s="325"/>
      <c r="B14" s="326"/>
      <c r="C14" s="321"/>
      <c r="D14" s="321"/>
      <c r="E14" s="321"/>
      <c r="F14" s="322"/>
      <c r="G14" s="148"/>
      <c r="H14" s="149">
        <v>7</v>
      </c>
      <c r="I14" s="150" t="s">
        <v>155</v>
      </c>
      <c r="J14" s="151" t="e">
        <f t="shared" si="2"/>
        <v>#DIV/0!</v>
      </c>
      <c r="K14" s="151" t="e">
        <f t="shared" si="3"/>
        <v>#DIV/0!</v>
      </c>
      <c r="L14" s="151" t="e">
        <f t="shared" si="4"/>
        <v>#DIV/0!</v>
      </c>
      <c r="M14" s="151" t="e">
        <f t="shared" si="5"/>
        <v>#DIV/0!</v>
      </c>
    </row>
    <row r="15" spans="1:17" s="152" customFormat="1" ht="25.15" customHeight="1">
      <c r="A15" s="325"/>
      <c r="B15" s="326"/>
      <c r="C15" s="321"/>
      <c r="D15" s="321"/>
      <c r="E15" s="321"/>
      <c r="F15" s="322"/>
      <c r="G15" s="148"/>
      <c r="H15" s="149">
        <v>8</v>
      </c>
      <c r="I15" s="150" t="s">
        <v>156</v>
      </c>
      <c r="J15" s="151" t="e">
        <f t="shared" si="2"/>
        <v>#DIV/0!</v>
      </c>
      <c r="K15" s="151" t="e">
        <f t="shared" si="3"/>
        <v>#DIV/0!</v>
      </c>
      <c r="L15" s="151" t="e">
        <f t="shared" si="4"/>
        <v>#DIV/0!</v>
      </c>
      <c r="M15" s="151" t="e">
        <f t="shared" si="5"/>
        <v>#DIV/0!</v>
      </c>
    </row>
    <row r="16" spans="1:17" s="152" customFormat="1" ht="25.15" customHeight="1">
      <c r="A16" s="325"/>
      <c r="B16" s="326"/>
      <c r="C16" s="321"/>
      <c r="D16" s="321"/>
      <c r="E16" s="321"/>
      <c r="F16" s="322"/>
      <c r="G16" s="148"/>
      <c r="H16" s="149">
        <v>9</v>
      </c>
      <c r="I16" s="150" t="s">
        <v>157</v>
      </c>
      <c r="J16" s="151" t="e">
        <f t="shared" si="2"/>
        <v>#DIV/0!</v>
      </c>
      <c r="K16" s="151" t="e">
        <f t="shared" si="3"/>
        <v>#DIV/0!</v>
      </c>
      <c r="L16" s="151" t="e">
        <f t="shared" si="4"/>
        <v>#DIV/0!</v>
      </c>
      <c r="M16" s="151" t="e">
        <f t="shared" si="5"/>
        <v>#DIV/0!</v>
      </c>
    </row>
    <row r="17" spans="1:13" s="152" customFormat="1" ht="25.15" customHeight="1">
      <c r="A17" s="325"/>
      <c r="B17" s="328"/>
      <c r="C17" s="321"/>
      <c r="D17" s="321"/>
      <c r="E17" s="321"/>
      <c r="F17" s="322"/>
      <c r="G17" s="153"/>
      <c r="H17" s="149">
        <v>10</v>
      </c>
      <c r="I17" s="150" t="s">
        <v>158</v>
      </c>
      <c r="J17" s="151" t="e">
        <f t="shared" si="2"/>
        <v>#DIV/0!</v>
      </c>
      <c r="K17" s="151" t="e">
        <f t="shared" si="3"/>
        <v>#DIV/0!</v>
      </c>
      <c r="L17" s="151" t="e">
        <f t="shared" si="4"/>
        <v>#DIV/0!</v>
      </c>
      <c r="M17" s="151" t="e">
        <f t="shared" si="5"/>
        <v>#DIV/0!</v>
      </c>
    </row>
    <row r="18" spans="1:13" s="152" customFormat="1" ht="25.15" customHeight="1">
      <c r="A18" s="325"/>
      <c r="B18" s="328"/>
      <c r="C18" s="321"/>
      <c r="D18" s="321"/>
      <c r="E18" s="321"/>
      <c r="F18" s="322"/>
      <c r="G18" s="153"/>
      <c r="H18" s="149" t="s">
        <v>1</v>
      </c>
      <c r="I18" s="154" t="s">
        <v>159</v>
      </c>
      <c r="J18" s="151" t="e">
        <f t="shared" si="2"/>
        <v>#DIV/0!</v>
      </c>
      <c r="K18" s="151" t="e">
        <f t="shared" si="3"/>
        <v>#DIV/0!</v>
      </c>
      <c r="L18" s="151" t="e">
        <f t="shared" si="4"/>
        <v>#DIV/0!</v>
      </c>
      <c r="M18" s="151" t="e">
        <f t="shared" si="5"/>
        <v>#DIV/0!</v>
      </c>
    </row>
    <row r="19" spans="1:13" s="152" customFormat="1" ht="25.15" customHeight="1">
      <c r="A19" s="325"/>
      <c r="B19" s="327"/>
      <c r="C19" s="321"/>
      <c r="D19" s="321"/>
      <c r="E19" s="321"/>
      <c r="F19" s="322"/>
      <c r="G19" s="153"/>
      <c r="H19" s="149" t="s">
        <v>1</v>
      </c>
      <c r="I19" s="154" t="s">
        <v>160</v>
      </c>
      <c r="J19" s="151" t="e">
        <f t="shared" si="2"/>
        <v>#DIV/0!</v>
      </c>
      <c r="K19" s="151" t="e">
        <f t="shared" si="3"/>
        <v>#DIV/0!</v>
      </c>
      <c r="L19" s="151" t="e">
        <f t="shared" si="4"/>
        <v>#DIV/0!</v>
      </c>
      <c r="M19" s="151" t="e">
        <f t="shared" si="5"/>
        <v>#DIV/0!</v>
      </c>
    </row>
    <row r="20" spans="1:13" ht="18">
      <c r="H20" s="149" t="s">
        <v>1</v>
      </c>
      <c r="I20" s="155" t="s">
        <v>69</v>
      </c>
      <c r="J20" s="151" t="e">
        <f t="shared" si="2"/>
        <v>#DIV/0!</v>
      </c>
      <c r="K20" s="151" t="e">
        <f t="shared" si="3"/>
        <v>#DIV/0!</v>
      </c>
      <c r="L20" s="151" t="e">
        <f t="shared" si="4"/>
        <v>#DIV/0!</v>
      </c>
      <c r="M20" s="151" t="e">
        <f t="shared" si="5"/>
        <v>#DIV/0!</v>
      </c>
    </row>
    <row r="22" spans="1:13" ht="58.35" customHeight="1">
      <c r="A22" s="342" t="s">
        <v>137</v>
      </c>
      <c r="B22" s="342"/>
      <c r="C22" s="342"/>
      <c r="D22" s="342"/>
      <c r="E22" s="342"/>
      <c r="F22" s="342"/>
    </row>
    <row r="23" spans="1:13" ht="17.100000000000001" customHeight="1">
      <c r="A23" s="144"/>
      <c r="B23" s="144"/>
      <c r="C23" s="144"/>
      <c r="D23" s="144"/>
      <c r="E23" s="144"/>
      <c r="F23" s="144"/>
    </row>
    <row r="24" spans="1:13" s="122" customFormat="1" ht="35.1" customHeight="1">
      <c r="A24" s="346" t="s">
        <v>139</v>
      </c>
      <c r="B24" s="346"/>
      <c r="C24" s="1" t="s">
        <v>27</v>
      </c>
      <c r="D24" s="1" t="s">
        <v>28</v>
      </c>
      <c r="E24" s="1" t="s">
        <v>29</v>
      </c>
      <c r="F24" s="1" t="s">
        <v>30</v>
      </c>
      <c r="H24"/>
      <c r="I24"/>
      <c r="J24"/>
      <c r="K24"/>
      <c r="L24"/>
      <c r="M24"/>
    </row>
    <row r="25" spans="1:13" ht="33" customHeight="1">
      <c r="A25" s="132"/>
      <c r="B25" s="132"/>
      <c r="C25" s="132" t="s">
        <v>85</v>
      </c>
      <c r="D25" s="132" t="s">
        <v>86</v>
      </c>
      <c r="E25" s="132" t="s">
        <v>87</v>
      </c>
      <c r="F25" s="132" t="s">
        <v>88</v>
      </c>
      <c r="H25" s="123" t="s">
        <v>34</v>
      </c>
      <c r="I25" s="123" t="s">
        <v>15</v>
      </c>
      <c r="J25" s="123" t="s">
        <v>33</v>
      </c>
      <c r="K25" s="122"/>
      <c r="L25" s="123" t="s">
        <v>67</v>
      </c>
      <c r="M25" s="123" t="s">
        <v>3</v>
      </c>
    </row>
    <row r="26" spans="1:13" s="157" customFormat="1" ht="22.15" customHeight="1">
      <c r="A26" s="233">
        <v>1</v>
      </c>
      <c r="B26" s="234" t="e">
        <f>_xlfn.CONCAT((_xlfn.TEXTBEFORE(B7,"("))," (kg)")</f>
        <v>#N/A</v>
      </c>
      <c r="C26" s="324">
        <v>0</v>
      </c>
      <c r="D26" s="324">
        <v>0</v>
      </c>
      <c r="E26" s="324">
        <v>0</v>
      </c>
      <c r="F26" s="324">
        <v>0</v>
      </c>
      <c r="H26"/>
      <c r="I26"/>
      <c r="J26"/>
      <c r="K26"/>
      <c r="L26"/>
      <c r="M26"/>
    </row>
    <row r="27" spans="1:13" s="157" customFormat="1" ht="22.15" customHeight="1">
      <c r="A27" s="233">
        <v>2</v>
      </c>
      <c r="B27" s="234" t="e">
        <f t="shared" ref="B27:B38" si="6">_xlfn.CONCAT((_xlfn.TEXTBEFORE(B8,"("))," (kg)")</f>
        <v>#N/A</v>
      </c>
      <c r="C27" s="324">
        <v>0</v>
      </c>
      <c r="D27" s="324">
        <v>0</v>
      </c>
      <c r="E27" s="324">
        <v>0</v>
      </c>
      <c r="F27" s="324">
        <v>0</v>
      </c>
      <c r="H27" s="235">
        <f t="shared" ref="H27:H39" si="7">MAX(C26:F26)</f>
        <v>0</v>
      </c>
      <c r="I27" s="235">
        <f t="shared" ref="I27:I39" si="8">MIN(C26:F26)</f>
        <v>0</v>
      </c>
      <c r="J27" s="235">
        <f t="shared" ref="J27:J39" si="9">AVERAGE(C26:F26)</f>
        <v>0</v>
      </c>
      <c r="L27" s="236">
        <f>J27-I27</f>
        <v>0</v>
      </c>
      <c r="M27" s="236"/>
    </row>
    <row r="28" spans="1:13" s="157" customFormat="1" ht="22.15" customHeight="1">
      <c r="A28" s="233">
        <v>3</v>
      </c>
      <c r="B28" s="234" t="e">
        <f t="shared" si="6"/>
        <v>#N/A</v>
      </c>
      <c r="C28" s="324">
        <v>0</v>
      </c>
      <c r="D28" s="324">
        <v>0</v>
      </c>
      <c r="E28" s="324">
        <v>0</v>
      </c>
      <c r="F28" s="324">
        <v>0</v>
      </c>
      <c r="H28" s="235">
        <f t="shared" si="7"/>
        <v>0</v>
      </c>
      <c r="I28" s="235">
        <f t="shared" si="8"/>
        <v>0</v>
      </c>
      <c r="J28" s="235">
        <f t="shared" si="9"/>
        <v>0</v>
      </c>
      <c r="L28" s="236">
        <f t="shared" ref="L28:L39" si="10">J28-I28</f>
        <v>0</v>
      </c>
      <c r="M28" s="236"/>
    </row>
    <row r="29" spans="1:13" s="157" customFormat="1" ht="22.15" customHeight="1">
      <c r="A29" s="233">
        <v>4</v>
      </c>
      <c r="B29" s="234" t="e">
        <f t="shared" si="6"/>
        <v>#N/A</v>
      </c>
      <c r="C29" s="324">
        <v>0</v>
      </c>
      <c r="D29" s="324">
        <v>0</v>
      </c>
      <c r="E29" s="324">
        <v>0</v>
      </c>
      <c r="F29" s="324">
        <v>0</v>
      </c>
      <c r="H29" s="235">
        <f t="shared" si="7"/>
        <v>0</v>
      </c>
      <c r="I29" s="235">
        <f t="shared" si="8"/>
        <v>0</v>
      </c>
      <c r="J29" s="235">
        <f t="shared" si="9"/>
        <v>0</v>
      </c>
      <c r="L29" s="236">
        <f t="shared" si="10"/>
        <v>0</v>
      </c>
      <c r="M29" s="236"/>
    </row>
    <row r="30" spans="1:13" s="157" customFormat="1" ht="22.15" customHeight="1">
      <c r="A30" s="233">
        <v>5</v>
      </c>
      <c r="B30" s="234" t="e">
        <f t="shared" si="6"/>
        <v>#N/A</v>
      </c>
      <c r="C30" s="324">
        <v>0</v>
      </c>
      <c r="D30" s="324">
        <v>0</v>
      </c>
      <c r="E30" s="324">
        <v>0</v>
      </c>
      <c r="F30" s="324">
        <v>0</v>
      </c>
      <c r="H30" s="235">
        <f t="shared" si="7"/>
        <v>0</v>
      </c>
      <c r="I30" s="235">
        <f t="shared" si="8"/>
        <v>0</v>
      </c>
      <c r="J30" s="235">
        <f t="shared" si="9"/>
        <v>0</v>
      </c>
      <c r="L30" s="236">
        <f t="shared" si="10"/>
        <v>0</v>
      </c>
      <c r="M30" s="236"/>
    </row>
    <row r="31" spans="1:13" s="157" customFormat="1" ht="22.15" customHeight="1">
      <c r="A31" s="233">
        <v>6</v>
      </c>
      <c r="B31" s="234" t="e">
        <f t="shared" si="6"/>
        <v>#N/A</v>
      </c>
      <c r="C31" s="324">
        <v>0</v>
      </c>
      <c r="D31" s="324">
        <v>0</v>
      </c>
      <c r="E31" s="324">
        <v>0</v>
      </c>
      <c r="F31" s="324">
        <v>0</v>
      </c>
      <c r="H31" s="235">
        <f t="shared" si="7"/>
        <v>0</v>
      </c>
      <c r="I31" s="235">
        <f t="shared" si="8"/>
        <v>0</v>
      </c>
      <c r="J31" s="235">
        <f t="shared" si="9"/>
        <v>0</v>
      </c>
      <c r="L31" s="236">
        <f t="shared" si="10"/>
        <v>0</v>
      </c>
      <c r="M31" s="236"/>
    </row>
    <row r="32" spans="1:13" s="157" customFormat="1" ht="22.15" customHeight="1">
      <c r="A32" s="233">
        <v>7</v>
      </c>
      <c r="B32" s="234" t="e">
        <f t="shared" si="6"/>
        <v>#N/A</v>
      </c>
      <c r="C32" s="324">
        <v>0</v>
      </c>
      <c r="D32" s="324">
        <v>0</v>
      </c>
      <c r="E32" s="324">
        <v>0</v>
      </c>
      <c r="F32" s="324">
        <v>0</v>
      </c>
      <c r="H32" s="235">
        <f t="shared" si="7"/>
        <v>0</v>
      </c>
      <c r="I32" s="235">
        <f t="shared" si="8"/>
        <v>0</v>
      </c>
      <c r="J32" s="235">
        <f t="shared" si="9"/>
        <v>0</v>
      </c>
      <c r="L32" s="236">
        <f t="shared" si="10"/>
        <v>0</v>
      </c>
      <c r="M32" s="236"/>
    </row>
    <row r="33" spans="1:13" s="157" customFormat="1" ht="22.15" customHeight="1">
      <c r="A33" s="233">
        <v>8</v>
      </c>
      <c r="B33" s="234" t="e">
        <f t="shared" si="6"/>
        <v>#N/A</v>
      </c>
      <c r="C33" s="324">
        <v>0</v>
      </c>
      <c r="D33" s="324">
        <v>0</v>
      </c>
      <c r="E33" s="324">
        <v>0</v>
      </c>
      <c r="F33" s="324">
        <v>0</v>
      </c>
      <c r="H33" s="235">
        <f t="shared" si="7"/>
        <v>0</v>
      </c>
      <c r="I33" s="235">
        <f t="shared" si="8"/>
        <v>0</v>
      </c>
      <c r="J33" s="235">
        <f t="shared" si="9"/>
        <v>0</v>
      </c>
      <c r="L33" s="236">
        <f t="shared" si="10"/>
        <v>0</v>
      </c>
      <c r="M33" s="236"/>
    </row>
    <row r="34" spans="1:13" s="157" customFormat="1" ht="22.15" customHeight="1">
      <c r="A34" s="233">
        <v>9</v>
      </c>
      <c r="B34" s="234" t="e">
        <f t="shared" si="6"/>
        <v>#N/A</v>
      </c>
      <c r="C34" s="324">
        <v>0</v>
      </c>
      <c r="D34" s="324">
        <v>0</v>
      </c>
      <c r="E34" s="324">
        <v>0</v>
      </c>
      <c r="F34" s="324">
        <v>0</v>
      </c>
      <c r="H34" s="235">
        <f t="shared" si="7"/>
        <v>0</v>
      </c>
      <c r="I34" s="235">
        <f t="shared" si="8"/>
        <v>0</v>
      </c>
      <c r="J34" s="235">
        <f t="shared" si="9"/>
        <v>0</v>
      </c>
      <c r="L34" s="236">
        <f t="shared" si="10"/>
        <v>0</v>
      </c>
      <c r="M34" s="236"/>
    </row>
    <row r="35" spans="1:13" s="157" customFormat="1" ht="22.15" customHeight="1">
      <c r="A35" s="233">
        <v>10</v>
      </c>
      <c r="B35" s="234" t="e">
        <f t="shared" si="6"/>
        <v>#N/A</v>
      </c>
      <c r="C35" s="324">
        <v>0</v>
      </c>
      <c r="D35" s="324">
        <v>0</v>
      </c>
      <c r="E35" s="324">
        <v>0</v>
      </c>
      <c r="F35" s="324">
        <v>0</v>
      </c>
      <c r="H35" s="235">
        <f t="shared" si="7"/>
        <v>0</v>
      </c>
      <c r="I35" s="235">
        <f t="shared" si="8"/>
        <v>0</v>
      </c>
      <c r="J35" s="235">
        <f t="shared" si="9"/>
        <v>0</v>
      </c>
      <c r="L35" s="236">
        <f t="shared" si="10"/>
        <v>0</v>
      </c>
      <c r="M35" s="236"/>
    </row>
    <row r="36" spans="1:13" s="157" customFormat="1" ht="22.15" customHeight="1">
      <c r="A36" s="233" t="s">
        <v>1</v>
      </c>
      <c r="B36" s="234" t="e">
        <f t="shared" si="6"/>
        <v>#N/A</v>
      </c>
      <c r="C36" s="324">
        <v>0</v>
      </c>
      <c r="D36" s="324">
        <v>0</v>
      </c>
      <c r="E36" s="324">
        <v>0</v>
      </c>
      <c r="F36" s="324">
        <v>0</v>
      </c>
      <c r="H36" s="235">
        <f t="shared" si="7"/>
        <v>0</v>
      </c>
      <c r="I36" s="235">
        <f t="shared" si="8"/>
        <v>0</v>
      </c>
      <c r="J36" s="235">
        <f t="shared" si="9"/>
        <v>0</v>
      </c>
      <c r="L36" s="236">
        <f t="shared" si="10"/>
        <v>0</v>
      </c>
      <c r="M36" s="236"/>
    </row>
    <row r="37" spans="1:13" s="157" customFormat="1" ht="22.15" customHeight="1">
      <c r="A37" s="233" t="s">
        <v>1</v>
      </c>
      <c r="B37" s="234" t="e">
        <f t="shared" si="6"/>
        <v>#N/A</v>
      </c>
      <c r="C37" s="324">
        <v>0</v>
      </c>
      <c r="D37" s="324">
        <v>0</v>
      </c>
      <c r="E37" s="324">
        <v>0</v>
      </c>
      <c r="F37" s="324">
        <v>0</v>
      </c>
      <c r="H37" s="235">
        <f t="shared" si="7"/>
        <v>0</v>
      </c>
      <c r="I37" s="235">
        <f t="shared" si="8"/>
        <v>0</v>
      </c>
      <c r="J37" s="235">
        <f t="shared" si="9"/>
        <v>0</v>
      </c>
      <c r="L37" s="236">
        <f t="shared" si="10"/>
        <v>0</v>
      </c>
      <c r="M37" s="236"/>
    </row>
    <row r="38" spans="1:13" s="157" customFormat="1" ht="22.15" customHeight="1">
      <c r="A38" s="233" t="s">
        <v>1</v>
      </c>
      <c r="B38" s="234" t="e">
        <f t="shared" si="6"/>
        <v>#N/A</v>
      </c>
      <c r="C38" s="324">
        <v>0</v>
      </c>
      <c r="D38" s="324">
        <v>0</v>
      </c>
      <c r="E38" s="324">
        <v>0</v>
      </c>
      <c r="F38" s="324">
        <v>0</v>
      </c>
      <c r="H38" s="235">
        <f t="shared" si="7"/>
        <v>0</v>
      </c>
      <c r="I38" s="235">
        <f t="shared" si="8"/>
        <v>0</v>
      </c>
      <c r="J38" s="235">
        <f t="shared" si="9"/>
        <v>0</v>
      </c>
      <c r="L38" s="236">
        <f t="shared" si="10"/>
        <v>0</v>
      </c>
      <c r="M38" s="236"/>
    </row>
    <row r="39" spans="1:13" ht="19.5">
      <c r="A39" s="118"/>
      <c r="B39" s="119"/>
      <c r="C39" s="120"/>
      <c r="D39" s="120"/>
      <c r="E39" s="121"/>
      <c r="F39" s="121"/>
      <c r="H39" s="235">
        <f t="shared" si="7"/>
        <v>0</v>
      </c>
      <c r="I39" s="235">
        <f t="shared" si="8"/>
        <v>0</v>
      </c>
      <c r="J39" s="235">
        <f t="shared" si="9"/>
        <v>0</v>
      </c>
      <c r="K39" s="157"/>
      <c r="L39" s="236">
        <f t="shared" si="10"/>
        <v>0</v>
      </c>
      <c r="M39" s="236"/>
    </row>
    <row r="40" spans="1:13">
      <c r="A40" s="118"/>
      <c r="B40" s="119"/>
      <c r="C40" s="120"/>
      <c r="D40" s="120"/>
      <c r="E40" s="121"/>
      <c r="F40" s="121"/>
    </row>
    <row r="41" spans="1:13" ht="60.6" customHeight="1">
      <c r="A41" s="342" t="s">
        <v>138</v>
      </c>
      <c r="B41" s="342"/>
      <c r="C41" s="342"/>
      <c r="D41" s="342"/>
      <c r="E41" s="342"/>
      <c r="F41" s="342"/>
      <c r="G41" s="9"/>
    </row>
    <row r="42" spans="1:13" ht="26.1" customHeight="1">
      <c r="A42" s="343"/>
      <c r="B42" s="343"/>
      <c r="C42" s="298">
        <v>1</v>
      </c>
      <c r="D42" s="298">
        <v>2</v>
      </c>
      <c r="E42" s="298">
        <v>3</v>
      </c>
      <c r="F42" s="298">
        <v>4</v>
      </c>
      <c r="G42" s="9"/>
      <c r="H42" s="8"/>
      <c r="I42" s="13"/>
      <c r="J42" s="11"/>
      <c r="K42" s="11"/>
      <c r="L42" s="123" t="s">
        <v>3</v>
      </c>
      <c r="M42" s="124">
        <f>MAX(L27:L39)</f>
        <v>0</v>
      </c>
    </row>
    <row r="43" spans="1:13" ht="22.15" customHeight="1">
      <c r="A43" s="347" t="s">
        <v>118</v>
      </c>
      <c r="B43" s="237" t="s">
        <v>43</v>
      </c>
      <c r="C43" s="238" t="str">
        <f>IF(ISERROR(C60),"n/a",SUM(C60:C72))</f>
        <v>n/a</v>
      </c>
      <c r="D43" s="238" t="str">
        <f>IF(ISERROR(D60),"n/a",SUM(D60:D72))</f>
        <v>n/a</v>
      </c>
      <c r="E43" s="238" t="str">
        <f>IF(ISERROR(E60),"n/a",SUM(E60:E72))</f>
        <v>n/a</v>
      </c>
      <c r="F43" s="238" t="str">
        <f>IF(ISERROR(F60),"n/a",SUM(F60:F72))</f>
        <v>n/a</v>
      </c>
      <c r="H43" s="8"/>
      <c r="I43" s="13"/>
      <c r="J43" s="11"/>
      <c r="K43" s="11"/>
      <c r="L43" s="11"/>
      <c r="M43" s="11"/>
    </row>
    <row r="44" spans="1:13" ht="22.15" customHeight="1">
      <c r="A44" s="347"/>
      <c r="B44" s="239" t="s">
        <v>161</v>
      </c>
      <c r="C44" s="240" t="str">
        <f>IF(ISERROR(C78),"n/a",SUM(C78:C90))</f>
        <v>n/a</v>
      </c>
      <c r="D44" s="240" t="str">
        <f>IF(ISERROR(D78),"n/a",SUM(D78:D90))</f>
        <v>n/a</v>
      </c>
      <c r="E44" s="240" t="str">
        <f>IF(ISERROR(E78),"n/a",SUM(E78:E90))</f>
        <v>n/a</v>
      </c>
      <c r="F44" s="240" t="str">
        <f>IF(ISERROR(F78),"n/a",SUM(F78:F90))</f>
        <v>n/a</v>
      </c>
      <c r="H44" s="8"/>
      <c r="I44" s="13"/>
      <c r="J44" s="12"/>
      <c r="K44" s="12"/>
      <c r="L44" s="12"/>
      <c r="M44" s="12"/>
    </row>
    <row r="45" spans="1:13" ht="22.15" customHeight="1">
      <c r="A45" s="347"/>
      <c r="B45" s="239" t="s">
        <v>14</v>
      </c>
      <c r="C45" s="240" t="str">
        <f>IF(ISERROR(C98),"n/a",SUM(C98:C110))</f>
        <v>n/a</v>
      </c>
      <c r="D45" s="240" t="str">
        <f>IF(ISERROR(D98),"n/a",SUM(D98:D110))</f>
        <v>n/a</v>
      </c>
      <c r="E45" s="240" t="str">
        <f>IF(ISERROR(E98),"n/a",SUM(E98:E110))</f>
        <v>n/a</v>
      </c>
      <c r="F45" s="240" t="str">
        <f>IF(ISERROR(F98),"n/a",SUM(F98:F110))</f>
        <v>n/a</v>
      </c>
      <c r="H45" s="8"/>
      <c r="I45" s="13"/>
      <c r="J45" s="12"/>
      <c r="K45" s="12"/>
      <c r="L45" s="12"/>
      <c r="M45" s="12"/>
    </row>
    <row r="46" spans="1:13">
      <c r="A46" s="8"/>
      <c r="B46" s="13"/>
      <c r="C46" s="43"/>
      <c r="D46" s="43"/>
      <c r="E46" s="43"/>
      <c r="F46" s="43"/>
      <c r="G46" s="9"/>
      <c r="H46" s="8"/>
      <c r="I46" s="13"/>
      <c r="J46" s="12"/>
      <c r="K46" s="12"/>
      <c r="L46" s="12"/>
      <c r="M46" s="12"/>
    </row>
    <row r="47" spans="1:13">
      <c r="A47" s="8"/>
      <c r="B47" s="13"/>
      <c r="C47" s="43"/>
      <c r="D47" s="43"/>
      <c r="E47" s="43"/>
      <c r="F47" s="43"/>
      <c r="G47" s="9"/>
      <c r="H47" s="8"/>
      <c r="I47" s="13"/>
      <c r="J47" s="11"/>
      <c r="K47" s="11"/>
      <c r="L47" s="11"/>
      <c r="M47" s="11"/>
    </row>
    <row r="48" spans="1:13" ht="35.1" customHeight="1">
      <c r="A48" s="342" t="s">
        <v>122</v>
      </c>
      <c r="B48" s="342"/>
      <c r="C48" s="342"/>
      <c r="D48" s="342"/>
      <c r="E48" s="342"/>
      <c r="F48" s="342"/>
      <c r="G48" s="9"/>
      <c r="H48" s="8"/>
      <c r="I48" s="13"/>
      <c r="J48" s="11"/>
      <c r="K48" s="11"/>
      <c r="L48" s="11"/>
      <c r="M48" s="11"/>
    </row>
    <row r="49" spans="1:20" ht="28.15" customHeight="1">
      <c r="A49" s="1"/>
      <c r="B49" s="1"/>
      <c r="C49" s="298" t="s">
        <v>123</v>
      </c>
      <c r="D49" s="298" t="s">
        <v>124</v>
      </c>
      <c r="E49" s="298" t="s">
        <v>125</v>
      </c>
      <c r="F49" s="298" t="s">
        <v>126</v>
      </c>
      <c r="G49" s="9"/>
      <c r="H49" s="8"/>
      <c r="I49" s="13"/>
      <c r="J49" s="11"/>
      <c r="K49" s="11"/>
      <c r="L49" s="11"/>
      <c r="M49" s="11"/>
    </row>
    <row r="50" spans="1:20" ht="22.15" customHeight="1">
      <c r="A50" s="348" t="s">
        <v>89</v>
      </c>
      <c r="B50" s="349"/>
      <c r="C50" s="241" t="str">
        <f>IF(ISERROR(C60),"n/a",VLOOKUP(C51,C60:G72,5,FALSE))</f>
        <v>n/a</v>
      </c>
      <c r="D50" s="241" t="str">
        <f>IF(ISERROR(D60),"n/a",VLOOKUP(D51,D60:G72,4,FALSE))</f>
        <v>n/a</v>
      </c>
      <c r="E50" s="241" t="str">
        <f>IF(ISERROR(E60),"n/a",VLOOKUP(E51,E60:G72,3,FALSE))</f>
        <v>n/a</v>
      </c>
      <c r="F50" s="241" t="str">
        <f>IF(ISERROR(F60),"n/a",(VLOOKUP(F51,F60:G72,2,FALSE)))</f>
        <v>n/a</v>
      </c>
      <c r="G50" s="9"/>
      <c r="H50" s="8"/>
      <c r="I50" s="13"/>
      <c r="J50" s="11"/>
      <c r="K50" s="11"/>
      <c r="L50" s="11"/>
      <c r="M50" s="11"/>
    </row>
    <row r="51" spans="1:20" ht="22.15" customHeight="1">
      <c r="A51" s="344" t="s">
        <v>149</v>
      </c>
      <c r="B51" s="345"/>
      <c r="C51" s="240" t="str">
        <f>IF(ISERROR(C60),"n/a",LARGE(C60:C72,1))</f>
        <v>n/a</v>
      </c>
      <c r="D51" s="240" t="str">
        <f>IF(ISERROR(D60),"n/a",LARGE(D60:D72,1))</f>
        <v>n/a</v>
      </c>
      <c r="E51" s="240" t="str">
        <f>IF(ISERROR(E60),"n/a",LARGE(E60:E72,1))</f>
        <v>n/a</v>
      </c>
      <c r="F51" s="240" t="str">
        <f>IF(ISERROR(F60),"n/a",LARGE(F60:F72,1))</f>
        <v>n/a</v>
      </c>
      <c r="G51" s="9"/>
      <c r="H51" s="8"/>
      <c r="I51" s="13"/>
      <c r="J51" s="11"/>
      <c r="K51" s="11"/>
      <c r="L51" s="11"/>
      <c r="M51" s="11"/>
    </row>
    <row r="52" spans="1:20" ht="22.15" customHeight="1">
      <c r="A52" s="348" t="s">
        <v>90</v>
      </c>
      <c r="B52" s="349"/>
      <c r="C52" s="241" t="str">
        <f>IF(ISERROR(C60),"n/a",VLOOKUP(C53,C60:G72,5,FALSE))</f>
        <v>n/a</v>
      </c>
      <c r="D52" s="241" t="str">
        <f>IF(ISERROR(D60),"n/a",VLOOKUP(D53,D60:G72,4,FALSE))</f>
        <v>n/a</v>
      </c>
      <c r="E52" s="241" t="str">
        <f>IF(ISERROR(E60),"n/a",VLOOKUP(E53,E60:G72,3,FALSE))</f>
        <v>n/a</v>
      </c>
      <c r="F52" s="241" t="str">
        <f>IF(ISERROR(F60),"n/a",(VLOOKUP(F53,F60:G72,2,FALSE)))</f>
        <v>n/a</v>
      </c>
      <c r="H52" s="8"/>
      <c r="I52" s="13"/>
      <c r="J52" s="11"/>
      <c r="K52" s="11"/>
      <c r="L52" s="11"/>
      <c r="M52" s="11"/>
    </row>
    <row r="53" spans="1:20" ht="22.15" customHeight="1">
      <c r="A53" s="344" t="s">
        <v>149</v>
      </c>
      <c r="B53" s="345"/>
      <c r="C53" s="240" t="str">
        <f>IF(ISERROR(C60),"n/a",LARGE(C60:C72,2))</f>
        <v>n/a</v>
      </c>
      <c r="D53" s="240" t="str">
        <f>IF(ISERROR(D60),"n/a",LARGE(D60:D72,2))</f>
        <v>n/a</v>
      </c>
      <c r="E53" s="240" t="str">
        <f>IF(ISERROR(E60),"n/a",LARGE(E60:E72,2))</f>
        <v>n/a</v>
      </c>
      <c r="F53" s="240" t="str">
        <f>IF(ISERROR(F60),"n/a",LARGE(F60:F72,2))</f>
        <v>n/a</v>
      </c>
    </row>
    <row r="54" spans="1:20">
      <c r="C54" s="130"/>
    </row>
    <row r="55" spans="1:20" hidden="1">
      <c r="C55" s="130"/>
    </row>
    <row r="56" spans="1:20" ht="36" hidden="1" customHeight="1">
      <c r="A56" s="334" t="s">
        <v>36</v>
      </c>
      <c r="B56" s="335"/>
      <c r="C56" s="335"/>
      <c r="D56" s="335"/>
      <c r="E56" s="335"/>
      <c r="F56" s="336"/>
      <c r="G56" s="33"/>
      <c r="O56" s="350"/>
      <c r="P56" s="351"/>
      <c r="Q56" s="351"/>
      <c r="R56" s="351"/>
      <c r="S56" s="351"/>
      <c r="T56" s="351"/>
    </row>
    <row r="57" spans="1:20" ht="18" hidden="1">
      <c r="A57" s="356" t="str">
        <f>$H$3</f>
        <v>RBA / 1kg</v>
      </c>
      <c r="B57" s="357"/>
      <c r="C57" s="28">
        <v>1</v>
      </c>
      <c r="D57" s="28">
        <v>2</v>
      </c>
      <c r="E57" s="28">
        <v>3</v>
      </c>
      <c r="F57" s="28">
        <v>4</v>
      </c>
      <c r="G57" s="33"/>
      <c r="H57" s="334" t="s">
        <v>164</v>
      </c>
      <c r="I57" s="335"/>
      <c r="J57" s="335"/>
      <c r="K57" s="335"/>
      <c r="L57" s="335"/>
      <c r="M57" s="336"/>
      <c r="O57" s="352"/>
      <c r="P57" s="352"/>
      <c r="Q57" s="41"/>
      <c r="R57" s="41"/>
      <c r="S57" s="41"/>
      <c r="T57" s="41"/>
    </row>
    <row r="58" spans="1:20" ht="18" hidden="1">
      <c r="A58" s="340" t="s">
        <v>70</v>
      </c>
      <c r="B58" s="341"/>
      <c r="C58" s="29" t="e">
        <f>#REF!</f>
        <v>#REF!</v>
      </c>
      <c r="D58" s="29" t="e">
        <f>#REF!</f>
        <v>#REF!</v>
      </c>
      <c r="E58" s="29" t="e">
        <f>#REF!</f>
        <v>#REF!</v>
      </c>
      <c r="F58" s="29" t="e">
        <f>#REF!</f>
        <v>#REF!</v>
      </c>
      <c r="G58" s="33"/>
      <c r="H58" s="356" t="str">
        <f>A57</f>
        <v>RBA / 1kg</v>
      </c>
      <c r="I58" s="357"/>
      <c r="J58" s="28">
        <v>1</v>
      </c>
      <c r="K58" s="28">
        <v>2</v>
      </c>
      <c r="L58" s="28">
        <v>3</v>
      </c>
      <c r="M58" s="28">
        <v>4</v>
      </c>
      <c r="O58" s="353"/>
      <c r="P58" s="353"/>
      <c r="Q58" s="133"/>
      <c r="R58" s="134"/>
      <c r="S58" s="134"/>
      <c r="T58" s="134"/>
    </row>
    <row r="59" spans="1:20" hidden="1">
      <c r="A59" s="340"/>
      <c r="B59" s="341"/>
      <c r="C59" s="30"/>
      <c r="D59" s="30"/>
      <c r="E59" s="30"/>
      <c r="F59" s="30"/>
      <c r="G59" s="33"/>
      <c r="H59" s="340" t="s">
        <v>70</v>
      </c>
      <c r="I59" s="341"/>
      <c r="J59" s="29" t="e">
        <f>#REF!</f>
        <v>#REF!</v>
      </c>
      <c r="K59" s="29" t="e">
        <f>#REF!</f>
        <v>#REF!</v>
      </c>
      <c r="L59" s="29" t="e">
        <f>#REF!</f>
        <v>#REF!</v>
      </c>
      <c r="M59" s="29" t="e">
        <f>#REF!</f>
        <v>#REF!</v>
      </c>
      <c r="O59" s="353"/>
      <c r="P59" s="353"/>
      <c r="Q59" s="133"/>
      <c r="R59" s="135"/>
      <c r="S59" s="135"/>
      <c r="T59" s="135"/>
    </row>
    <row r="60" spans="1:20" hidden="1">
      <c r="A60" s="34">
        <v>24.661487236403993</v>
      </c>
      <c r="B60" s="32">
        <f t="shared" ref="B60:B66" si="11">B7</f>
        <v>0</v>
      </c>
      <c r="C60" s="34" t="e">
        <f t="shared" ref="C60:C72" si="12">(J8/1000)*J27</f>
        <v>#DIV/0!</v>
      </c>
      <c r="D60" s="34" t="e">
        <f t="shared" ref="D60:D72" si="13">(K8/1000)*J27</f>
        <v>#DIV/0!</v>
      </c>
      <c r="E60" s="34" t="e">
        <f t="shared" ref="E60:E72" si="14">(L8/1000)*J27</f>
        <v>#DIV/0!</v>
      </c>
      <c r="F60" s="34" t="e">
        <f t="shared" ref="F60:F72" si="15">(M8/1000)*J27</f>
        <v>#DIV/0!</v>
      </c>
      <c r="G60" s="33" t="s">
        <v>4</v>
      </c>
      <c r="H60" s="3"/>
      <c r="I60" s="2"/>
      <c r="J60" s="30"/>
      <c r="K60" s="30"/>
      <c r="L60" s="30"/>
      <c r="M60" s="30"/>
      <c r="O60" s="118"/>
      <c r="P60" s="119"/>
      <c r="Q60" s="136"/>
      <c r="R60" s="137"/>
      <c r="S60" s="138"/>
      <c r="T60" s="139"/>
    </row>
    <row r="61" spans="1:20" hidden="1">
      <c r="A61" s="34">
        <v>28.867924528301888</v>
      </c>
      <c r="B61" s="32">
        <f t="shared" si="11"/>
        <v>0</v>
      </c>
      <c r="C61" s="34" t="e">
        <f t="shared" si="12"/>
        <v>#DIV/0!</v>
      </c>
      <c r="D61" s="34" t="e">
        <f t="shared" si="13"/>
        <v>#DIV/0!</v>
      </c>
      <c r="E61" s="34" t="e">
        <f t="shared" si="14"/>
        <v>#DIV/0!</v>
      </c>
      <c r="F61" s="34" t="e">
        <f t="shared" si="15"/>
        <v>#DIV/0!</v>
      </c>
      <c r="G61" s="33" t="s">
        <v>150</v>
      </c>
      <c r="H61" s="125">
        <v>5.7123392440533938E-2</v>
      </c>
      <c r="I61" s="32" t="str">
        <f t="shared" ref="I61:I73" si="16">I8</f>
        <v>Millet (g)</v>
      </c>
      <c r="J61" s="35" t="e">
        <f t="shared" ref="J61:J73" si="17">C60/$C$43</f>
        <v>#DIV/0!</v>
      </c>
      <c r="K61" s="35" t="e">
        <f t="shared" ref="K61:K73" si="18">D60/$D$43</f>
        <v>#DIV/0!</v>
      </c>
      <c r="L61" s="35" t="e">
        <f t="shared" ref="L61:L73" si="19">E60/$E$43</f>
        <v>#DIV/0!</v>
      </c>
      <c r="M61" s="35" t="e">
        <f t="shared" ref="M61:M73" si="20">F60/$F$43</f>
        <v>#DIV/0!</v>
      </c>
      <c r="O61" s="118"/>
      <c r="P61" s="119"/>
      <c r="Q61" s="136"/>
      <c r="R61" s="140"/>
      <c r="S61" s="138"/>
      <c r="T61" s="139"/>
    </row>
    <row r="62" spans="1:20" hidden="1">
      <c r="A62" s="34">
        <v>30.366259711431741</v>
      </c>
      <c r="B62" s="32">
        <f t="shared" si="11"/>
        <v>0</v>
      </c>
      <c r="C62" s="34" t="e">
        <f t="shared" si="12"/>
        <v>#DIV/0!</v>
      </c>
      <c r="D62" s="34" t="e">
        <f t="shared" si="13"/>
        <v>#DIV/0!</v>
      </c>
      <c r="E62" s="34" t="e">
        <f t="shared" si="14"/>
        <v>#DIV/0!</v>
      </c>
      <c r="F62" s="34" t="e">
        <f t="shared" si="15"/>
        <v>#DIV/0!</v>
      </c>
      <c r="G62" s="33" t="s">
        <v>151</v>
      </c>
      <c r="H62" s="125">
        <v>6.6866761358158777E-2</v>
      </c>
      <c r="I62" s="32" t="str">
        <f t="shared" si="16"/>
        <v>Maïs (g)</v>
      </c>
      <c r="J62" s="35" t="e">
        <f t="shared" si="17"/>
        <v>#DIV/0!</v>
      </c>
      <c r="K62" s="35" t="e">
        <f t="shared" si="18"/>
        <v>#DIV/0!</v>
      </c>
      <c r="L62" s="35" t="e">
        <f t="shared" si="19"/>
        <v>#DIV/0!</v>
      </c>
      <c r="M62" s="35" t="e">
        <f t="shared" si="20"/>
        <v>#DIV/0!</v>
      </c>
      <c r="O62" s="118"/>
      <c r="P62" s="119"/>
      <c r="Q62" s="138"/>
      <c r="R62" s="140"/>
      <c r="S62" s="138"/>
      <c r="T62" s="139"/>
    </row>
    <row r="63" spans="1:20" hidden="1">
      <c r="A63" s="34">
        <v>14.039955604883463</v>
      </c>
      <c r="B63" s="32">
        <f t="shared" si="11"/>
        <v>0</v>
      </c>
      <c r="C63" s="34" t="e">
        <f t="shared" si="12"/>
        <v>#DIV/0!</v>
      </c>
      <c r="D63" s="34" t="e">
        <f t="shared" si="13"/>
        <v>#DIV/0!</v>
      </c>
      <c r="E63" s="34" t="e">
        <f t="shared" si="14"/>
        <v>#DIV/0!</v>
      </c>
      <c r="F63" s="34" t="e">
        <f t="shared" si="15"/>
        <v>#DIV/0!</v>
      </c>
      <c r="G63" s="33" t="s">
        <v>152</v>
      </c>
      <c r="H63" s="125">
        <v>7.0337354508236222E-2</v>
      </c>
      <c r="I63" s="32" t="str">
        <f t="shared" si="16"/>
        <v>Souchet (g)</v>
      </c>
      <c r="J63" s="35" t="e">
        <f t="shared" si="17"/>
        <v>#DIV/0!</v>
      </c>
      <c r="K63" s="35" t="e">
        <f t="shared" si="18"/>
        <v>#DIV/0!</v>
      </c>
      <c r="L63" s="35" t="e">
        <f t="shared" si="19"/>
        <v>#DIV/0!</v>
      </c>
      <c r="M63" s="35" t="e">
        <f t="shared" si="20"/>
        <v>#DIV/0!</v>
      </c>
      <c r="O63" s="118"/>
      <c r="P63" s="119"/>
      <c r="Q63" s="138"/>
      <c r="R63" s="138"/>
      <c r="S63" s="138"/>
      <c r="T63" s="139"/>
    </row>
    <row r="64" spans="1:20" hidden="1">
      <c r="A64" s="34">
        <v>12.444506104328525</v>
      </c>
      <c r="B64" s="32">
        <f t="shared" si="11"/>
        <v>0</v>
      </c>
      <c r="C64" s="34" t="e">
        <f t="shared" si="12"/>
        <v>#DIV/0!</v>
      </c>
      <c r="D64" s="34" t="e">
        <f t="shared" si="13"/>
        <v>#DIV/0!</v>
      </c>
      <c r="E64" s="34" t="e">
        <f t="shared" si="14"/>
        <v>#DIV/0!</v>
      </c>
      <c r="F64" s="34" t="e">
        <f t="shared" si="15"/>
        <v>#DIV/0!</v>
      </c>
      <c r="G64" s="33" t="s">
        <v>153</v>
      </c>
      <c r="H64" s="125">
        <v>3.2520743221096063E-2</v>
      </c>
      <c r="I64" s="32" t="str">
        <f t="shared" si="16"/>
        <v>Riz (g)</v>
      </c>
      <c r="J64" s="35" t="e">
        <f t="shared" si="17"/>
        <v>#DIV/0!</v>
      </c>
      <c r="K64" s="35" t="e">
        <f t="shared" si="18"/>
        <v>#DIV/0!</v>
      </c>
      <c r="L64" s="35" t="e">
        <f t="shared" si="19"/>
        <v>#DIV/0!</v>
      </c>
      <c r="M64" s="35" t="e">
        <f t="shared" si="20"/>
        <v>#DIV/0!</v>
      </c>
      <c r="O64" s="118"/>
      <c r="P64" s="119"/>
      <c r="Q64" s="138"/>
      <c r="R64" s="138"/>
      <c r="S64" s="138"/>
      <c r="T64" s="139"/>
    </row>
    <row r="65" spans="1:20" hidden="1">
      <c r="A65" s="34">
        <v>23.973362930077691</v>
      </c>
      <c r="B65" s="32">
        <f t="shared" si="11"/>
        <v>0</v>
      </c>
      <c r="C65" s="34" t="e">
        <f t="shared" si="12"/>
        <v>#DIV/0!</v>
      </c>
      <c r="D65" s="34" t="e">
        <f t="shared" si="13"/>
        <v>#DIV/0!</v>
      </c>
      <c r="E65" s="34" t="e">
        <f t="shared" si="14"/>
        <v>#DIV/0!</v>
      </c>
      <c r="F65" s="34" t="e">
        <f t="shared" si="15"/>
        <v>#DIV/0!</v>
      </c>
      <c r="G65" s="33" t="s">
        <v>154</v>
      </c>
      <c r="H65" s="125">
        <v>2.8825204218698781E-2</v>
      </c>
      <c r="I65" s="32" t="str">
        <f t="shared" si="16"/>
        <v>Farine de blé (g)</v>
      </c>
      <c r="J65" s="35" t="e">
        <f t="shared" si="17"/>
        <v>#DIV/0!</v>
      </c>
      <c r="K65" s="35" t="e">
        <f t="shared" si="18"/>
        <v>#DIV/0!</v>
      </c>
      <c r="L65" s="35" t="e">
        <f t="shared" si="19"/>
        <v>#DIV/0!</v>
      </c>
      <c r="M65" s="35" t="e">
        <f t="shared" si="20"/>
        <v>#DIV/0!</v>
      </c>
      <c r="O65" s="118"/>
      <c r="P65" s="119"/>
      <c r="Q65" s="138"/>
      <c r="R65" s="138"/>
      <c r="S65" s="138"/>
      <c r="T65" s="139"/>
    </row>
    <row r="66" spans="1:20" hidden="1">
      <c r="A66" s="34">
        <v>47.413984461709219</v>
      </c>
      <c r="B66" s="32">
        <f t="shared" si="11"/>
        <v>0</v>
      </c>
      <c r="C66" s="34" t="e">
        <f t="shared" si="12"/>
        <v>#DIV/0!</v>
      </c>
      <c r="D66" s="34" t="e">
        <f t="shared" si="13"/>
        <v>#DIV/0!</v>
      </c>
      <c r="E66" s="34" t="e">
        <f t="shared" si="14"/>
        <v>#DIV/0!</v>
      </c>
      <c r="F66" s="34" t="e">
        <f t="shared" si="15"/>
        <v>#DIV/0!</v>
      </c>
      <c r="G66" s="33" t="s">
        <v>155</v>
      </c>
      <c r="H66" s="125">
        <v>5.5529490401239119E-2</v>
      </c>
      <c r="I66" s="32" t="str">
        <f t="shared" si="16"/>
        <v>Soja (g)</v>
      </c>
      <c r="J66" s="35" t="e">
        <f t="shared" si="17"/>
        <v>#DIV/0!</v>
      </c>
      <c r="K66" s="35" t="e">
        <f t="shared" si="18"/>
        <v>#DIV/0!</v>
      </c>
      <c r="L66" s="35" t="e">
        <f t="shared" si="19"/>
        <v>#DIV/0!</v>
      </c>
      <c r="M66" s="35" t="e">
        <f t="shared" si="20"/>
        <v>#DIV/0!</v>
      </c>
      <c r="O66" s="118"/>
      <c r="P66" s="119"/>
      <c r="Q66" s="138"/>
      <c r="R66" s="138"/>
      <c r="S66" s="138"/>
      <c r="T66" s="139"/>
    </row>
    <row r="67" spans="1:20" hidden="1">
      <c r="A67" s="34">
        <v>69.367369589345174</v>
      </c>
      <c r="B67" s="32" t="s">
        <v>162</v>
      </c>
      <c r="C67" s="34" t="e">
        <f t="shared" si="12"/>
        <v>#DIV/0!</v>
      </c>
      <c r="D67" s="34" t="e">
        <f t="shared" si="13"/>
        <v>#DIV/0!</v>
      </c>
      <c r="E67" s="34" t="e">
        <f t="shared" si="14"/>
        <v>#DIV/0!</v>
      </c>
      <c r="F67" s="34" t="e">
        <f t="shared" si="15"/>
        <v>#DIV/0!</v>
      </c>
      <c r="G67" s="33" t="s">
        <v>162</v>
      </c>
      <c r="H67" s="125">
        <v>0.10982499212689517</v>
      </c>
      <c r="I67" s="32" t="str">
        <f t="shared" si="16"/>
        <v>Arachide (g)</v>
      </c>
      <c r="J67" s="35" t="e">
        <f t="shared" si="17"/>
        <v>#DIV/0!</v>
      </c>
      <c r="K67" s="35" t="e">
        <f t="shared" si="18"/>
        <v>#DIV/0!</v>
      </c>
      <c r="L67" s="35" t="e">
        <f t="shared" si="19"/>
        <v>#DIV/0!</v>
      </c>
      <c r="M67" s="35" t="e">
        <f t="shared" si="20"/>
        <v>#DIV/0!</v>
      </c>
      <c r="O67" s="118"/>
      <c r="P67" s="119"/>
      <c r="Q67" s="138"/>
      <c r="R67" s="138"/>
      <c r="S67" s="138"/>
      <c r="T67" s="139"/>
    </row>
    <row r="68" spans="1:20" hidden="1">
      <c r="A68" s="34">
        <v>27.746947835738073</v>
      </c>
      <c r="B68" s="32">
        <f>B15</f>
        <v>0</v>
      </c>
      <c r="C68" s="34" t="e">
        <f t="shared" si="12"/>
        <v>#DIV/0!</v>
      </c>
      <c r="D68" s="34" t="e">
        <f t="shared" si="13"/>
        <v>#DIV/0!</v>
      </c>
      <c r="E68" s="34" t="e">
        <f t="shared" si="14"/>
        <v>#DIV/0!</v>
      </c>
      <c r="F68" s="34" t="e">
        <f t="shared" si="15"/>
        <v>#DIV/0!</v>
      </c>
      <c r="G68" s="33" t="s">
        <v>157</v>
      </c>
      <c r="H68" s="125">
        <v>0.16067560879988171</v>
      </c>
      <c r="I68" s="32" t="str">
        <f t="shared" si="16"/>
        <v>Gingembre (g)</v>
      </c>
      <c r="J68" s="35" t="e">
        <f t="shared" si="17"/>
        <v>#DIV/0!</v>
      </c>
      <c r="K68" s="35" t="e">
        <f t="shared" si="18"/>
        <v>#DIV/0!</v>
      </c>
      <c r="L68" s="35" t="e">
        <f t="shared" si="19"/>
        <v>#DIV/0!</v>
      </c>
      <c r="M68" s="35" t="e">
        <f t="shared" si="20"/>
        <v>#DIV/0!</v>
      </c>
      <c r="O68" s="118"/>
      <c r="P68" s="119"/>
      <c r="Q68" s="138"/>
      <c r="R68" s="138"/>
      <c r="S68" s="138"/>
      <c r="T68" s="139"/>
    </row>
    <row r="69" spans="1:20" hidden="1">
      <c r="A69" s="34">
        <v>144.06215316315206</v>
      </c>
      <c r="B69" s="32">
        <f>B16</f>
        <v>0</v>
      </c>
      <c r="C69" s="34" t="e">
        <f t="shared" si="12"/>
        <v>#DIV/0!</v>
      </c>
      <c r="D69" s="34" t="e">
        <f t="shared" si="13"/>
        <v>#DIV/0!</v>
      </c>
      <c r="E69" s="34" t="e">
        <f t="shared" si="14"/>
        <v>#DIV/0!</v>
      </c>
      <c r="F69" s="34" t="e">
        <f t="shared" si="15"/>
        <v>#DIV/0!</v>
      </c>
      <c r="G69" s="33" t="s">
        <v>158</v>
      </c>
      <c r="H69" s="125">
        <v>6.4270243519952697E-2</v>
      </c>
      <c r="I69" s="32" t="str">
        <f t="shared" si="16"/>
        <v>Clou de girofle (g)</v>
      </c>
      <c r="J69" s="35" t="e">
        <f t="shared" si="17"/>
        <v>#DIV/0!</v>
      </c>
      <c r="K69" s="35" t="e">
        <f t="shared" si="18"/>
        <v>#DIV/0!</v>
      </c>
      <c r="L69" s="35" t="e">
        <f t="shared" si="19"/>
        <v>#DIV/0!</v>
      </c>
      <c r="M69" s="35" t="e">
        <f t="shared" si="20"/>
        <v>#DIV/0!</v>
      </c>
      <c r="O69" s="118"/>
      <c r="P69" s="119"/>
      <c r="Q69" s="138"/>
      <c r="R69" s="138"/>
      <c r="S69" s="138"/>
      <c r="T69" s="139"/>
    </row>
    <row r="70" spans="1:20" hidden="1">
      <c r="A70" s="34">
        <v>17.896781354051054</v>
      </c>
      <c r="B70" s="32">
        <f>B17</f>
        <v>0</v>
      </c>
      <c r="C70" s="34" t="e">
        <f t="shared" si="12"/>
        <v>#DIV/0!</v>
      </c>
      <c r="D70" s="34" t="e">
        <f t="shared" si="13"/>
        <v>#DIV/0!</v>
      </c>
      <c r="E70" s="34" t="e">
        <f t="shared" si="14"/>
        <v>#DIV/0!</v>
      </c>
      <c r="F70" s="34" t="e">
        <f t="shared" si="15"/>
        <v>#DIV/0!</v>
      </c>
      <c r="G70" s="33" t="s">
        <v>159</v>
      </c>
      <c r="H70" s="125">
        <v>0.31106797863657104</v>
      </c>
      <c r="I70" s="32" t="str">
        <f t="shared" si="16"/>
        <v>Sésame (g)</v>
      </c>
      <c r="J70" s="35" t="e">
        <f t="shared" si="17"/>
        <v>#DIV/0!</v>
      </c>
      <c r="K70" s="35" t="e">
        <f t="shared" si="18"/>
        <v>#DIV/0!</v>
      </c>
      <c r="L70" s="35" t="e">
        <f t="shared" si="19"/>
        <v>#DIV/0!</v>
      </c>
      <c r="M70" s="35" t="e">
        <f t="shared" si="20"/>
        <v>#DIV/0!</v>
      </c>
      <c r="O70" s="118"/>
      <c r="P70" s="119"/>
      <c r="Q70" s="138"/>
      <c r="R70" s="138"/>
      <c r="S70" s="138"/>
      <c r="T70" s="139"/>
    </row>
    <row r="71" spans="1:20" hidden="1">
      <c r="A71" s="34">
        <v>0.64927857935627076</v>
      </c>
      <c r="B71" s="32">
        <f>B18</f>
        <v>0</v>
      </c>
      <c r="C71" s="34" t="e">
        <f t="shared" si="12"/>
        <v>#DIV/0!</v>
      </c>
      <c r="D71" s="34" t="e">
        <f t="shared" si="13"/>
        <v>#DIV/0!</v>
      </c>
      <c r="E71" s="34" t="e">
        <f t="shared" si="14"/>
        <v>#DIV/0!</v>
      </c>
      <c r="F71" s="34" t="e">
        <f t="shared" si="15"/>
        <v>#DIV/0!</v>
      </c>
      <c r="G71" s="33" t="s">
        <v>160</v>
      </c>
      <c r="H71" s="125">
        <v>4.1454307070369484E-2</v>
      </c>
      <c r="I71" s="32" t="str">
        <f t="shared" si="16"/>
        <v>SUCRE AJOUTÉ (g)</v>
      </c>
      <c r="J71" s="35" t="e">
        <f t="shared" si="17"/>
        <v>#DIV/0!</v>
      </c>
      <c r="K71" s="35" t="e">
        <f t="shared" si="18"/>
        <v>#DIV/0!</v>
      </c>
      <c r="L71" s="35" t="e">
        <f t="shared" si="19"/>
        <v>#DIV/0!</v>
      </c>
      <c r="M71" s="35" t="e">
        <f t="shared" si="20"/>
        <v>#DIV/0!</v>
      </c>
      <c r="O71" s="118"/>
      <c r="P71" s="119"/>
      <c r="Q71" s="138"/>
      <c r="R71" s="138"/>
      <c r="S71" s="138"/>
      <c r="T71" s="139"/>
    </row>
    <row r="72" spans="1:20" hidden="1">
      <c r="A72" s="34">
        <v>0</v>
      </c>
      <c r="B72" s="32">
        <f>B19</f>
        <v>0</v>
      </c>
      <c r="C72" s="34" t="e">
        <f t="shared" si="12"/>
        <v>#DIV/0!</v>
      </c>
      <c r="D72" s="34" t="e">
        <f t="shared" si="13"/>
        <v>#DIV/0!</v>
      </c>
      <c r="E72" s="34" t="e">
        <f t="shared" si="14"/>
        <v>#DIV/0!</v>
      </c>
      <c r="F72" s="34" t="e">
        <f t="shared" si="15"/>
        <v>#DIV/0!</v>
      </c>
      <c r="G72" s="33" t="s">
        <v>69</v>
      </c>
      <c r="H72" s="125">
        <v>1.5039236983668926E-3</v>
      </c>
      <c r="I72" s="32" t="str">
        <f t="shared" si="16"/>
        <v>SEL AJOUTÉ (g)</v>
      </c>
      <c r="J72" s="35" t="e">
        <f t="shared" si="17"/>
        <v>#DIV/0!</v>
      </c>
      <c r="K72" s="35" t="e">
        <f t="shared" si="18"/>
        <v>#DIV/0!</v>
      </c>
      <c r="L72" s="35" t="e">
        <f t="shared" si="19"/>
        <v>#DIV/0!</v>
      </c>
      <c r="M72" s="35" t="e">
        <f t="shared" si="20"/>
        <v>#DIV/0!</v>
      </c>
      <c r="O72" s="118"/>
      <c r="P72" s="119"/>
      <c r="Q72" s="138"/>
      <c r="R72" s="138"/>
      <c r="S72" s="138"/>
      <c r="T72" s="139"/>
    </row>
    <row r="73" spans="1:20" hidden="1">
      <c r="H73" s="125">
        <v>0</v>
      </c>
      <c r="I73" s="32" t="str">
        <f t="shared" si="16"/>
        <v>Poudre de feuilles de moringa</v>
      </c>
      <c r="J73" s="35" t="e">
        <f t="shared" si="17"/>
        <v>#DIV/0!</v>
      </c>
      <c r="K73" s="35" t="e">
        <f t="shared" si="18"/>
        <v>#DIV/0!</v>
      </c>
      <c r="L73" s="35" t="e">
        <f t="shared" si="19"/>
        <v>#DIV/0!</v>
      </c>
      <c r="M73" s="35" t="e">
        <f t="shared" si="20"/>
        <v>#DIV/0!</v>
      </c>
      <c r="Q73" s="141"/>
      <c r="R73" s="141"/>
    </row>
    <row r="74" spans="1:20" ht="18" hidden="1">
      <c r="A74" s="334" t="s">
        <v>38</v>
      </c>
      <c r="B74" s="335"/>
      <c r="C74" s="335"/>
      <c r="D74" s="335"/>
      <c r="E74" s="335"/>
      <c r="F74" s="336"/>
      <c r="Q74" s="136"/>
      <c r="R74" s="136"/>
    </row>
    <row r="75" spans="1:20" ht="18" hidden="1">
      <c r="A75" s="339" t="str">
        <f>$H$3</f>
        <v>RBA / 1kg</v>
      </c>
      <c r="B75" s="338"/>
      <c r="C75" s="28">
        <v>1</v>
      </c>
      <c r="D75" s="28">
        <v>2</v>
      </c>
      <c r="E75" s="28">
        <v>3</v>
      </c>
      <c r="F75" s="28">
        <v>4</v>
      </c>
      <c r="G75" s="33"/>
      <c r="H75" s="334" t="s">
        <v>164</v>
      </c>
      <c r="I75" s="335"/>
      <c r="J75" s="335"/>
      <c r="K75" s="335"/>
      <c r="L75" s="335"/>
      <c r="M75" s="336"/>
      <c r="P75" s="131"/>
      <c r="Q75" s="142"/>
      <c r="R75" s="142"/>
    </row>
    <row r="76" spans="1:20" ht="31.15" hidden="1" customHeight="1">
      <c r="A76" s="340" t="s">
        <v>70</v>
      </c>
      <c r="B76" s="341"/>
      <c r="C76" s="29" t="e">
        <f>C58</f>
        <v>#REF!</v>
      </c>
      <c r="D76" s="29" t="e">
        <f>D58</f>
        <v>#REF!</v>
      </c>
      <c r="E76" s="29" t="e">
        <f>E58</f>
        <v>#REF!</v>
      </c>
      <c r="F76" s="29" t="e">
        <f>F58</f>
        <v>#REF!</v>
      </c>
      <c r="G76" s="33"/>
      <c r="H76" s="339" t="str">
        <f>A75</f>
        <v>RBA / 1kg</v>
      </c>
      <c r="I76" s="338"/>
      <c r="J76" s="28">
        <v>1</v>
      </c>
      <c r="K76" s="28">
        <v>2</v>
      </c>
      <c r="L76" s="28">
        <v>3</v>
      </c>
      <c r="M76" s="28">
        <v>4</v>
      </c>
      <c r="P76" s="131"/>
      <c r="Q76" s="143"/>
      <c r="R76" s="143"/>
    </row>
    <row r="77" spans="1:20" hidden="1">
      <c r="A77" s="337"/>
      <c r="B77" s="338"/>
      <c r="C77" s="30"/>
      <c r="D77" s="30"/>
      <c r="E77" s="30"/>
      <c r="F77" s="30"/>
      <c r="G77" s="33"/>
      <c r="H77" s="340" t="s">
        <v>70</v>
      </c>
      <c r="I77" s="341"/>
      <c r="J77" s="29" t="e">
        <f>J59</f>
        <v>#REF!</v>
      </c>
      <c r="K77" s="29" t="e">
        <f>K59</f>
        <v>#REF!</v>
      </c>
      <c r="L77" s="29" t="e">
        <f>L59</f>
        <v>#REF!</v>
      </c>
      <c r="M77" s="29" t="e">
        <f>M59</f>
        <v>#REF!</v>
      </c>
    </row>
    <row r="78" spans="1:20" hidden="1">
      <c r="A78" s="31">
        <v>1</v>
      </c>
      <c r="B78" s="32">
        <f t="shared" ref="B78:B90" si="21">B7</f>
        <v>0</v>
      </c>
      <c r="C78" s="34" t="e">
        <f t="shared" ref="C78:C90" si="22">(J8/1000)*H27</f>
        <v>#DIV/0!</v>
      </c>
      <c r="D78" s="34" t="e">
        <f t="shared" ref="D78:D90" si="23">(K8/1000)*H27</f>
        <v>#DIV/0!</v>
      </c>
      <c r="E78" s="34" t="e">
        <f t="shared" ref="E78:E90" si="24">(L8/1000)*H27</f>
        <v>#DIV/0!</v>
      </c>
      <c r="F78" s="34" t="e">
        <f t="shared" ref="F78:F90" si="25">(M8/1000)*H27</f>
        <v>#DIV/0!</v>
      </c>
      <c r="G78" s="33"/>
      <c r="H78" s="337"/>
      <c r="I78" s="338"/>
      <c r="J78" s="30"/>
      <c r="K78" s="30"/>
      <c r="L78" s="30"/>
      <c r="M78" s="30"/>
    </row>
    <row r="79" spans="1:20" hidden="1">
      <c r="A79" s="31">
        <v>2</v>
      </c>
      <c r="B79" s="32">
        <f t="shared" si="21"/>
        <v>0</v>
      </c>
      <c r="C79" s="34" t="e">
        <f t="shared" si="22"/>
        <v>#DIV/0!</v>
      </c>
      <c r="D79" s="34" t="e">
        <f t="shared" si="23"/>
        <v>#DIV/0!</v>
      </c>
      <c r="E79" s="34" t="e">
        <f t="shared" si="24"/>
        <v>#DIV/0!</v>
      </c>
      <c r="F79" s="34" t="e">
        <f t="shared" si="25"/>
        <v>#DIV/0!</v>
      </c>
      <c r="G79" s="33"/>
      <c r="H79" s="31">
        <v>1</v>
      </c>
      <c r="I79" s="32">
        <f t="shared" ref="I79:I91" si="26">B78</f>
        <v>0</v>
      </c>
      <c r="J79" s="35" t="e">
        <f t="shared" ref="J79:J91" si="27">C78/$C$44</f>
        <v>#DIV/0!</v>
      </c>
      <c r="K79" s="35" t="e">
        <f t="shared" ref="K79:K91" si="28">D78/$D$44</f>
        <v>#DIV/0!</v>
      </c>
      <c r="L79" s="35" t="e">
        <f t="shared" ref="L79:L91" si="29">E78/$E$44</f>
        <v>#DIV/0!</v>
      </c>
      <c r="M79" s="35" t="e">
        <f t="shared" ref="M79:M91" si="30">F78/$F$44</f>
        <v>#DIV/0!</v>
      </c>
    </row>
    <row r="80" spans="1:20" hidden="1">
      <c r="A80" s="31">
        <v>3</v>
      </c>
      <c r="B80" s="32">
        <f t="shared" si="21"/>
        <v>0</v>
      </c>
      <c r="C80" s="34" t="e">
        <f t="shared" si="22"/>
        <v>#DIV/0!</v>
      </c>
      <c r="D80" s="34" t="e">
        <f t="shared" si="23"/>
        <v>#DIV/0!</v>
      </c>
      <c r="E80" s="34" t="e">
        <f t="shared" si="24"/>
        <v>#DIV/0!</v>
      </c>
      <c r="F80" s="34" t="e">
        <f t="shared" si="25"/>
        <v>#DIV/0!</v>
      </c>
      <c r="G80" s="33"/>
      <c r="H80" s="31">
        <v>2</v>
      </c>
      <c r="I80" s="32">
        <f t="shared" si="26"/>
        <v>0</v>
      </c>
      <c r="J80" s="35" t="e">
        <f t="shared" si="27"/>
        <v>#DIV/0!</v>
      </c>
      <c r="K80" s="35" t="e">
        <f t="shared" si="28"/>
        <v>#DIV/0!</v>
      </c>
      <c r="L80" s="35" t="e">
        <f t="shared" si="29"/>
        <v>#DIV/0!</v>
      </c>
      <c r="M80" s="35" t="e">
        <f t="shared" si="30"/>
        <v>#DIV/0!</v>
      </c>
    </row>
    <row r="81" spans="1:13" hidden="1">
      <c r="A81" s="31">
        <v>4</v>
      </c>
      <c r="B81" s="32">
        <f t="shared" si="21"/>
        <v>0</v>
      </c>
      <c r="C81" s="34" t="e">
        <f t="shared" si="22"/>
        <v>#DIV/0!</v>
      </c>
      <c r="D81" s="34" t="e">
        <f t="shared" si="23"/>
        <v>#DIV/0!</v>
      </c>
      <c r="E81" s="34" t="e">
        <f t="shared" si="24"/>
        <v>#DIV/0!</v>
      </c>
      <c r="F81" s="34" t="e">
        <f t="shared" si="25"/>
        <v>#DIV/0!</v>
      </c>
      <c r="G81" s="33"/>
      <c r="H81" s="31">
        <v>3</v>
      </c>
      <c r="I81" s="32">
        <f t="shared" si="26"/>
        <v>0</v>
      </c>
      <c r="J81" s="35" t="e">
        <f t="shared" si="27"/>
        <v>#DIV/0!</v>
      </c>
      <c r="K81" s="35" t="e">
        <f t="shared" si="28"/>
        <v>#DIV/0!</v>
      </c>
      <c r="L81" s="35" t="e">
        <f t="shared" si="29"/>
        <v>#DIV/0!</v>
      </c>
      <c r="M81" s="35" t="e">
        <f t="shared" si="30"/>
        <v>#DIV/0!</v>
      </c>
    </row>
    <row r="82" spans="1:13" hidden="1">
      <c r="A82" s="31">
        <v>5</v>
      </c>
      <c r="B82" s="32">
        <f t="shared" si="21"/>
        <v>0</v>
      </c>
      <c r="C82" s="34" t="e">
        <f t="shared" si="22"/>
        <v>#DIV/0!</v>
      </c>
      <c r="D82" s="34" t="e">
        <f t="shared" si="23"/>
        <v>#DIV/0!</v>
      </c>
      <c r="E82" s="34" t="e">
        <f t="shared" si="24"/>
        <v>#DIV/0!</v>
      </c>
      <c r="F82" s="34" t="e">
        <f t="shared" si="25"/>
        <v>#DIV/0!</v>
      </c>
      <c r="G82" s="33"/>
      <c r="H82" s="31">
        <v>4</v>
      </c>
      <c r="I82" s="32">
        <f t="shared" si="26"/>
        <v>0</v>
      </c>
      <c r="J82" s="35" t="e">
        <f t="shared" si="27"/>
        <v>#DIV/0!</v>
      </c>
      <c r="K82" s="35" t="e">
        <f t="shared" si="28"/>
        <v>#DIV/0!</v>
      </c>
      <c r="L82" s="35" t="e">
        <f t="shared" si="29"/>
        <v>#DIV/0!</v>
      </c>
      <c r="M82" s="35" t="e">
        <f t="shared" si="30"/>
        <v>#DIV/0!</v>
      </c>
    </row>
    <row r="83" spans="1:13" hidden="1">
      <c r="A83" s="31">
        <v>6</v>
      </c>
      <c r="B83" s="32">
        <f t="shared" si="21"/>
        <v>0</v>
      </c>
      <c r="C83" s="34" t="e">
        <f t="shared" si="22"/>
        <v>#DIV/0!</v>
      </c>
      <c r="D83" s="34" t="e">
        <f t="shared" si="23"/>
        <v>#DIV/0!</v>
      </c>
      <c r="E83" s="34" t="e">
        <f t="shared" si="24"/>
        <v>#DIV/0!</v>
      </c>
      <c r="F83" s="34" t="e">
        <f t="shared" si="25"/>
        <v>#DIV/0!</v>
      </c>
      <c r="G83" s="33"/>
      <c r="H83" s="31">
        <v>5</v>
      </c>
      <c r="I83" s="32">
        <f t="shared" si="26"/>
        <v>0</v>
      </c>
      <c r="J83" s="35" t="e">
        <f t="shared" si="27"/>
        <v>#DIV/0!</v>
      </c>
      <c r="K83" s="35" t="e">
        <f t="shared" si="28"/>
        <v>#DIV/0!</v>
      </c>
      <c r="L83" s="35" t="e">
        <f t="shared" si="29"/>
        <v>#DIV/0!</v>
      </c>
      <c r="M83" s="35" t="e">
        <f t="shared" si="30"/>
        <v>#DIV/0!</v>
      </c>
    </row>
    <row r="84" spans="1:13" hidden="1">
      <c r="A84" s="31">
        <v>7</v>
      </c>
      <c r="B84" s="32">
        <f t="shared" si="21"/>
        <v>0</v>
      </c>
      <c r="C84" s="34" t="e">
        <f t="shared" si="22"/>
        <v>#DIV/0!</v>
      </c>
      <c r="D84" s="34" t="e">
        <f t="shared" si="23"/>
        <v>#DIV/0!</v>
      </c>
      <c r="E84" s="34" t="e">
        <f t="shared" si="24"/>
        <v>#DIV/0!</v>
      </c>
      <c r="F84" s="34" t="e">
        <f t="shared" si="25"/>
        <v>#DIV/0!</v>
      </c>
      <c r="G84" s="33"/>
      <c r="H84" s="31">
        <v>6</v>
      </c>
      <c r="I84" s="32">
        <f t="shared" si="26"/>
        <v>0</v>
      </c>
      <c r="J84" s="35" t="e">
        <f t="shared" si="27"/>
        <v>#DIV/0!</v>
      </c>
      <c r="K84" s="35" t="e">
        <f t="shared" si="28"/>
        <v>#DIV/0!</v>
      </c>
      <c r="L84" s="35" t="e">
        <f t="shared" si="29"/>
        <v>#DIV/0!</v>
      </c>
      <c r="M84" s="35" t="e">
        <f t="shared" si="30"/>
        <v>#DIV/0!</v>
      </c>
    </row>
    <row r="85" spans="1:13" hidden="1">
      <c r="A85" s="31">
        <v>8</v>
      </c>
      <c r="B85" s="32">
        <f t="shared" si="21"/>
        <v>0</v>
      </c>
      <c r="C85" s="34" t="e">
        <f t="shared" si="22"/>
        <v>#DIV/0!</v>
      </c>
      <c r="D85" s="34" t="e">
        <f t="shared" si="23"/>
        <v>#DIV/0!</v>
      </c>
      <c r="E85" s="34" t="e">
        <f t="shared" si="24"/>
        <v>#DIV/0!</v>
      </c>
      <c r="F85" s="34" t="e">
        <f t="shared" si="25"/>
        <v>#DIV/0!</v>
      </c>
      <c r="G85" s="33"/>
      <c r="H85" s="31">
        <v>7</v>
      </c>
      <c r="I85" s="32">
        <f t="shared" si="26"/>
        <v>0</v>
      </c>
      <c r="J85" s="35" t="e">
        <f t="shared" si="27"/>
        <v>#DIV/0!</v>
      </c>
      <c r="K85" s="35" t="e">
        <f t="shared" si="28"/>
        <v>#DIV/0!</v>
      </c>
      <c r="L85" s="35" t="e">
        <f t="shared" si="29"/>
        <v>#DIV/0!</v>
      </c>
      <c r="M85" s="35" t="e">
        <f t="shared" si="30"/>
        <v>#DIV/0!</v>
      </c>
    </row>
    <row r="86" spans="1:13" hidden="1">
      <c r="A86" s="31">
        <v>9</v>
      </c>
      <c r="B86" s="32">
        <f t="shared" si="21"/>
        <v>0</v>
      </c>
      <c r="C86" s="34" t="e">
        <f t="shared" si="22"/>
        <v>#DIV/0!</v>
      </c>
      <c r="D86" s="34" t="e">
        <f t="shared" si="23"/>
        <v>#DIV/0!</v>
      </c>
      <c r="E86" s="34" t="e">
        <f t="shared" si="24"/>
        <v>#DIV/0!</v>
      </c>
      <c r="F86" s="34" t="e">
        <f t="shared" si="25"/>
        <v>#DIV/0!</v>
      </c>
      <c r="G86" s="33"/>
      <c r="H86" s="31">
        <v>8</v>
      </c>
      <c r="I86" s="32">
        <f t="shared" si="26"/>
        <v>0</v>
      </c>
      <c r="J86" s="35" t="e">
        <f t="shared" si="27"/>
        <v>#DIV/0!</v>
      </c>
      <c r="K86" s="35" t="e">
        <f t="shared" si="28"/>
        <v>#DIV/0!</v>
      </c>
      <c r="L86" s="35" t="e">
        <f t="shared" si="29"/>
        <v>#DIV/0!</v>
      </c>
      <c r="M86" s="35" t="e">
        <f t="shared" si="30"/>
        <v>#DIV/0!</v>
      </c>
    </row>
    <row r="87" spans="1:13" hidden="1">
      <c r="A87" s="31">
        <v>10</v>
      </c>
      <c r="B87" s="32">
        <f t="shared" si="21"/>
        <v>0</v>
      </c>
      <c r="C87" s="34" t="e">
        <f t="shared" si="22"/>
        <v>#DIV/0!</v>
      </c>
      <c r="D87" s="34" t="e">
        <f t="shared" si="23"/>
        <v>#DIV/0!</v>
      </c>
      <c r="E87" s="34" t="e">
        <f t="shared" si="24"/>
        <v>#DIV/0!</v>
      </c>
      <c r="F87" s="34" t="e">
        <f t="shared" si="25"/>
        <v>#DIV/0!</v>
      </c>
      <c r="G87" s="33"/>
      <c r="H87" s="31">
        <v>9</v>
      </c>
      <c r="I87" s="32">
        <f t="shared" si="26"/>
        <v>0</v>
      </c>
      <c r="J87" s="35" t="e">
        <f t="shared" si="27"/>
        <v>#DIV/0!</v>
      </c>
      <c r="K87" s="35" t="e">
        <f t="shared" si="28"/>
        <v>#DIV/0!</v>
      </c>
      <c r="L87" s="35" t="e">
        <f t="shared" si="29"/>
        <v>#DIV/0!</v>
      </c>
      <c r="M87" s="35" t="e">
        <f t="shared" si="30"/>
        <v>#DIV/0!</v>
      </c>
    </row>
    <row r="88" spans="1:13" hidden="1">
      <c r="A88" s="31" t="s">
        <v>1</v>
      </c>
      <c r="B88" s="32">
        <f t="shared" si="21"/>
        <v>0</v>
      </c>
      <c r="C88" s="34" t="e">
        <f t="shared" si="22"/>
        <v>#DIV/0!</v>
      </c>
      <c r="D88" s="34" t="e">
        <f t="shared" si="23"/>
        <v>#DIV/0!</v>
      </c>
      <c r="E88" s="34" t="e">
        <f t="shared" si="24"/>
        <v>#DIV/0!</v>
      </c>
      <c r="F88" s="34" t="e">
        <f t="shared" si="25"/>
        <v>#DIV/0!</v>
      </c>
      <c r="G88" s="33"/>
      <c r="H88" s="31">
        <v>10</v>
      </c>
      <c r="I88" s="32">
        <f t="shared" si="26"/>
        <v>0</v>
      </c>
      <c r="J88" s="35" t="e">
        <f t="shared" si="27"/>
        <v>#DIV/0!</v>
      </c>
      <c r="K88" s="35" t="e">
        <f t="shared" si="28"/>
        <v>#DIV/0!</v>
      </c>
      <c r="L88" s="35" t="e">
        <f t="shared" si="29"/>
        <v>#DIV/0!</v>
      </c>
      <c r="M88" s="35" t="e">
        <f t="shared" si="30"/>
        <v>#DIV/0!</v>
      </c>
    </row>
    <row r="89" spans="1:13" hidden="1">
      <c r="A89" s="31" t="s">
        <v>1</v>
      </c>
      <c r="B89" s="32">
        <f t="shared" si="21"/>
        <v>0</v>
      </c>
      <c r="C89" s="34" t="e">
        <f t="shared" si="22"/>
        <v>#DIV/0!</v>
      </c>
      <c r="D89" s="34" t="e">
        <f t="shared" si="23"/>
        <v>#DIV/0!</v>
      </c>
      <c r="E89" s="34" t="e">
        <f t="shared" si="24"/>
        <v>#DIV/0!</v>
      </c>
      <c r="F89" s="34" t="e">
        <f t="shared" si="25"/>
        <v>#DIV/0!</v>
      </c>
      <c r="G89" s="33"/>
      <c r="H89" s="31" t="s">
        <v>1</v>
      </c>
      <c r="I89" s="32">
        <f t="shared" si="26"/>
        <v>0</v>
      </c>
      <c r="J89" s="35" t="e">
        <f t="shared" si="27"/>
        <v>#DIV/0!</v>
      </c>
      <c r="K89" s="35" t="e">
        <f t="shared" si="28"/>
        <v>#DIV/0!</v>
      </c>
      <c r="L89" s="35" t="e">
        <f t="shared" si="29"/>
        <v>#DIV/0!</v>
      </c>
      <c r="M89" s="35" t="e">
        <f t="shared" si="30"/>
        <v>#DIV/0!</v>
      </c>
    </row>
    <row r="90" spans="1:13" hidden="1">
      <c r="A90" s="31" t="s">
        <v>1</v>
      </c>
      <c r="B90" s="32">
        <f t="shared" si="21"/>
        <v>0</v>
      </c>
      <c r="C90" s="34" t="e">
        <f t="shared" si="22"/>
        <v>#DIV/0!</v>
      </c>
      <c r="D90" s="34" t="e">
        <f t="shared" si="23"/>
        <v>#DIV/0!</v>
      </c>
      <c r="E90" s="34" t="e">
        <f t="shared" si="24"/>
        <v>#DIV/0!</v>
      </c>
      <c r="F90" s="34" t="e">
        <f t="shared" si="25"/>
        <v>#DIV/0!</v>
      </c>
      <c r="G90" s="33"/>
      <c r="H90" s="31" t="s">
        <v>1</v>
      </c>
      <c r="I90" s="32">
        <f t="shared" si="26"/>
        <v>0</v>
      </c>
      <c r="J90" s="35" t="e">
        <f t="shared" si="27"/>
        <v>#DIV/0!</v>
      </c>
      <c r="K90" s="35" t="e">
        <f t="shared" si="28"/>
        <v>#DIV/0!</v>
      </c>
      <c r="L90" s="35" t="e">
        <f t="shared" si="29"/>
        <v>#DIV/0!</v>
      </c>
      <c r="M90" s="35" t="e">
        <f t="shared" si="30"/>
        <v>#DIV/0!</v>
      </c>
    </row>
    <row r="91" spans="1:13" hidden="1">
      <c r="B91" t="s">
        <v>40</v>
      </c>
      <c r="C91" s="39" t="e">
        <f>C44/C43</f>
        <v>#VALUE!</v>
      </c>
      <c r="D91" s="39" t="e">
        <f>D44/D43</f>
        <v>#VALUE!</v>
      </c>
      <c r="E91" s="39" t="e">
        <f>E44/E43</f>
        <v>#VALUE!</v>
      </c>
      <c r="F91" s="39" t="e">
        <f>F44/F43</f>
        <v>#VALUE!</v>
      </c>
      <c r="H91" s="31" t="s">
        <v>1</v>
      </c>
      <c r="I91" s="32">
        <f t="shared" si="26"/>
        <v>0</v>
      </c>
      <c r="J91" s="35" t="e">
        <f t="shared" si="27"/>
        <v>#DIV/0!</v>
      </c>
      <c r="K91" s="35" t="e">
        <f t="shared" si="28"/>
        <v>#DIV/0!</v>
      </c>
      <c r="L91" s="35" t="e">
        <f t="shared" si="29"/>
        <v>#DIV/0!</v>
      </c>
      <c r="M91" s="35" t="e">
        <f t="shared" si="30"/>
        <v>#DIV/0!</v>
      </c>
    </row>
    <row r="92" spans="1:13" hidden="1"/>
    <row r="93" spans="1:13" hidden="1"/>
    <row r="94" spans="1:13" ht="18" hidden="1">
      <c r="A94" s="334" t="s">
        <v>39</v>
      </c>
      <c r="B94" s="335"/>
      <c r="C94" s="335"/>
      <c r="D94" s="335"/>
      <c r="E94" s="335"/>
      <c r="F94" s="336"/>
    </row>
    <row r="95" spans="1:13" ht="18" hidden="1">
      <c r="A95" s="339" t="str">
        <f>$H$3</f>
        <v>RBA / 1kg</v>
      </c>
      <c r="B95" s="338"/>
      <c r="C95" s="28">
        <v>1</v>
      </c>
      <c r="D95" s="28">
        <v>2</v>
      </c>
      <c r="E95" s="28">
        <v>3</v>
      </c>
      <c r="F95" s="28">
        <v>4</v>
      </c>
      <c r="G95" s="33"/>
      <c r="H95" s="334" t="s">
        <v>164</v>
      </c>
      <c r="I95" s="335"/>
      <c r="J95" s="335"/>
      <c r="K95" s="335"/>
      <c r="L95" s="335"/>
      <c r="M95" s="336"/>
    </row>
    <row r="96" spans="1:13" ht="31.15" hidden="1" customHeight="1">
      <c r="A96" s="340" t="s">
        <v>70</v>
      </c>
      <c r="B96" s="341"/>
      <c r="C96" s="29" t="e">
        <f>C76</f>
        <v>#REF!</v>
      </c>
      <c r="D96" s="29" t="e">
        <f>D76</f>
        <v>#REF!</v>
      </c>
      <c r="E96" s="29" t="e">
        <f>E76</f>
        <v>#REF!</v>
      </c>
      <c r="F96" s="29" t="e">
        <f>F76</f>
        <v>#REF!</v>
      </c>
      <c r="G96" s="33"/>
      <c r="H96" s="339" t="str">
        <f>A95</f>
        <v>RBA / 1kg</v>
      </c>
      <c r="I96" s="338"/>
      <c r="J96" s="28">
        <v>1</v>
      </c>
      <c r="K96" s="28">
        <v>2</v>
      </c>
      <c r="L96" s="28">
        <v>3</v>
      </c>
      <c r="M96" s="28">
        <v>4</v>
      </c>
    </row>
    <row r="97" spans="1:13" hidden="1">
      <c r="A97" s="337"/>
      <c r="B97" s="338"/>
      <c r="C97" s="30"/>
      <c r="D97" s="30"/>
      <c r="E97" s="30"/>
      <c r="F97" s="30"/>
      <c r="G97" s="33"/>
      <c r="H97" s="340" t="s">
        <v>70</v>
      </c>
      <c r="I97" s="341"/>
      <c r="J97" s="29" t="e">
        <f>J77</f>
        <v>#REF!</v>
      </c>
      <c r="K97" s="29" t="e">
        <f>K77</f>
        <v>#REF!</v>
      </c>
      <c r="L97" s="29" t="e">
        <f>L77</f>
        <v>#REF!</v>
      </c>
      <c r="M97" s="29" t="e">
        <f>M77</f>
        <v>#REF!</v>
      </c>
    </row>
    <row r="98" spans="1:13" hidden="1">
      <c r="A98" s="31">
        <v>1</v>
      </c>
      <c r="B98" s="32">
        <f t="shared" ref="B98:B110" si="31">B7</f>
        <v>0</v>
      </c>
      <c r="C98" s="34" t="e">
        <f t="shared" ref="C98:C110" si="32">(J8/1000)*I27</f>
        <v>#DIV/0!</v>
      </c>
      <c r="D98" s="34" t="e">
        <f t="shared" ref="D98:D110" si="33">(K8/1000)*I27</f>
        <v>#DIV/0!</v>
      </c>
      <c r="E98" s="34" t="e">
        <f t="shared" ref="E98:E110" si="34">(L8/1000)*I27</f>
        <v>#DIV/0!</v>
      </c>
      <c r="F98" s="34" t="e">
        <f t="shared" ref="F98:F110" si="35">(M8/1000)*I27</f>
        <v>#DIV/0!</v>
      </c>
      <c r="G98" s="33"/>
      <c r="H98" s="337"/>
      <c r="I98" s="338"/>
      <c r="J98" s="30"/>
      <c r="K98" s="30"/>
      <c r="L98" s="30"/>
      <c r="M98" s="30"/>
    </row>
    <row r="99" spans="1:13" hidden="1">
      <c r="A99" s="31">
        <v>2</v>
      </c>
      <c r="B99" s="32">
        <f t="shared" si="31"/>
        <v>0</v>
      </c>
      <c r="C99" s="34" t="e">
        <f t="shared" si="32"/>
        <v>#DIV/0!</v>
      </c>
      <c r="D99" s="34" t="e">
        <f t="shared" si="33"/>
        <v>#DIV/0!</v>
      </c>
      <c r="E99" s="34" t="e">
        <f t="shared" si="34"/>
        <v>#DIV/0!</v>
      </c>
      <c r="F99" s="34" t="e">
        <f t="shared" si="35"/>
        <v>#DIV/0!</v>
      </c>
      <c r="G99" s="33"/>
      <c r="H99" s="31">
        <v>1</v>
      </c>
      <c r="I99" s="32">
        <f>B98</f>
        <v>0</v>
      </c>
      <c r="J99" s="35" t="e">
        <f>C98/$C$45</f>
        <v>#DIV/0!</v>
      </c>
      <c r="K99" s="35" t="e">
        <f>D98/$D$45</f>
        <v>#DIV/0!</v>
      </c>
      <c r="L99" s="35" t="e">
        <f>E98/$E$45</f>
        <v>#DIV/0!</v>
      </c>
      <c r="M99" s="35" t="e">
        <f>F98/$F$45</f>
        <v>#DIV/0!</v>
      </c>
    </row>
    <row r="100" spans="1:13" hidden="1">
      <c r="A100" s="31">
        <v>3</v>
      </c>
      <c r="B100" s="32">
        <f t="shared" si="31"/>
        <v>0</v>
      </c>
      <c r="C100" s="34" t="e">
        <f t="shared" si="32"/>
        <v>#DIV/0!</v>
      </c>
      <c r="D100" s="34" t="e">
        <f t="shared" si="33"/>
        <v>#DIV/0!</v>
      </c>
      <c r="E100" s="34" t="e">
        <f t="shared" si="34"/>
        <v>#DIV/0!</v>
      </c>
      <c r="F100" s="34" t="e">
        <f t="shared" si="35"/>
        <v>#DIV/0!</v>
      </c>
      <c r="G100" s="33"/>
      <c r="H100" s="31">
        <v>2</v>
      </c>
      <c r="I100" s="32">
        <f t="shared" ref="I100:I111" si="36">B99</f>
        <v>0</v>
      </c>
      <c r="J100" s="35" t="e">
        <f t="shared" ref="J100:J111" si="37">C99/$C$45</f>
        <v>#DIV/0!</v>
      </c>
      <c r="K100" s="35" t="e">
        <f t="shared" ref="K100:K111" si="38">D99/$D$45</f>
        <v>#DIV/0!</v>
      </c>
      <c r="L100" s="35" t="e">
        <f t="shared" ref="L100:L111" si="39">E99/$E$45</f>
        <v>#DIV/0!</v>
      </c>
      <c r="M100" s="35" t="e">
        <f t="shared" ref="M100:M111" si="40">F99/$F$45</f>
        <v>#DIV/0!</v>
      </c>
    </row>
    <row r="101" spans="1:13" hidden="1">
      <c r="A101" s="31">
        <v>4</v>
      </c>
      <c r="B101" s="32">
        <f t="shared" si="31"/>
        <v>0</v>
      </c>
      <c r="C101" s="34" t="e">
        <f t="shared" si="32"/>
        <v>#DIV/0!</v>
      </c>
      <c r="D101" s="34" t="e">
        <f t="shared" si="33"/>
        <v>#DIV/0!</v>
      </c>
      <c r="E101" s="34" t="e">
        <f t="shared" si="34"/>
        <v>#DIV/0!</v>
      </c>
      <c r="F101" s="34" t="e">
        <f t="shared" si="35"/>
        <v>#DIV/0!</v>
      </c>
      <c r="G101" s="33"/>
      <c r="H101" s="31">
        <v>3</v>
      </c>
      <c r="I101" s="32">
        <f t="shared" si="36"/>
        <v>0</v>
      </c>
      <c r="J101" s="35" t="e">
        <f t="shared" si="37"/>
        <v>#DIV/0!</v>
      </c>
      <c r="K101" s="35" t="e">
        <f t="shared" si="38"/>
        <v>#DIV/0!</v>
      </c>
      <c r="L101" s="35" t="e">
        <f t="shared" si="39"/>
        <v>#DIV/0!</v>
      </c>
      <c r="M101" s="35" t="e">
        <f t="shared" si="40"/>
        <v>#DIV/0!</v>
      </c>
    </row>
    <row r="102" spans="1:13" hidden="1">
      <c r="A102" s="31">
        <v>5</v>
      </c>
      <c r="B102" s="32">
        <f t="shared" si="31"/>
        <v>0</v>
      </c>
      <c r="C102" s="34" t="e">
        <f t="shared" si="32"/>
        <v>#DIV/0!</v>
      </c>
      <c r="D102" s="34" t="e">
        <f t="shared" si="33"/>
        <v>#DIV/0!</v>
      </c>
      <c r="E102" s="34" t="e">
        <f t="shared" si="34"/>
        <v>#DIV/0!</v>
      </c>
      <c r="F102" s="34" t="e">
        <f t="shared" si="35"/>
        <v>#DIV/0!</v>
      </c>
      <c r="G102" s="33"/>
      <c r="H102" s="31">
        <v>4</v>
      </c>
      <c r="I102" s="32">
        <f t="shared" si="36"/>
        <v>0</v>
      </c>
      <c r="J102" s="35" t="e">
        <f t="shared" si="37"/>
        <v>#DIV/0!</v>
      </c>
      <c r="K102" s="35" t="e">
        <f t="shared" si="38"/>
        <v>#DIV/0!</v>
      </c>
      <c r="L102" s="35" t="e">
        <f t="shared" si="39"/>
        <v>#DIV/0!</v>
      </c>
      <c r="M102" s="35" t="e">
        <f t="shared" si="40"/>
        <v>#DIV/0!</v>
      </c>
    </row>
    <row r="103" spans="1:13" hidden="1">
      <c r="A103" s="31">
        <v>6</v>
      </c>
      <c r="B103" s="32">
        <f t="shared" si="31"/>
        <v>0</v>
      </c>
      <c r="C103" s="34" t="e">
        <f t="shared" si="32"/>
        <v>#DIV/0!</v>
      </c>
      <c r="D103" s="34" t="e">
        <f t="shared" si="33"/>
        <v>#DIV/0!</v>
      </c>
      <c r="E103" s="34" t="e">
        <f t="shared" si="34"/>
        <v>#DIV/0!</v>
      </c>
      <c r="F103" s="34" t="e">
        <f t="shared" si="35"/>
        <v>#DIV/0!</v>
      </c>
      <c r="G103" s="33"/>
      <c r="H103" s="31">
        <v>5</v>
      </c>
      <c r="I103" s="32">
        <f t="shared" si="36"/>
        <v>0</v>
      </c>
      <c r="J103" s="35" t="e">
        <f t="shared" si="37"/>
        <v>#DIV/0!</v>
      </c>
      <c r="K103" s="35" t="e">
        <f t="shared" si="38"/>
        <v>#DIV/0!</v>
      </c>
      <c r="L103" s="35" t="e">
        <f t="shared" si="39"/>
        <v>#DIV/0!</v>
      </c>
      <c r="M103" s="35" t="e">
        <f t="shared" si="40"/>
        <v>#DIV/0!</v>
      </c>
    </row>
    <row r="104" spans="1:13" hidden="1">
      <c r="A104" s="31">
        <v>7</v>
      </c>
      <c r="B104" s="32">
        <f t="shared" si="31"/>
        <v>0</v>
      </c>
      <c r="C104" s="34" t="e">
        <f t="shared" si="32"/>
        <v>#DIV/0!</v>
      </c>
      <c r="D104" s="34" t="e">
        <f t="shared" si="33"/>
        <v>#DIV/0!</v>
      </c>
      <c r="E104" s="34" t="e">
        <f t="shared" si="34"/>
        <v>#DIV/0!</v>
      </c>
      <c r="F104" s="34" t="e">
        <f t="shared" si="35"/>
        <v>#DIV/0!</v>
      </c>
      <c r="G104" s="33"/>
      <c r="H104" s="31">
        <v>6</v>
      </c>
      <c r="I104" s="32">
        <f t="shared" si="36"/>
        <v>0</v>
      </c>
      <c r="J104" s="35" t="e">
        <f t="shared" si="37"/>
        <v>#DIV/0!</v>
      </c>
      <c r="K104" s="35" t="e">
        <f t="shared" si="38"/>
        <v>#DIV/0!</v>
      </c>
      <c r="L104" s="35" t="e">
        <f t="shared" si="39"/>
        <v>#DIV/0!</v>
      </c>
      <c r="M104" s="35" t="e">
        <f t="shared" si="40"/>
        <v>#DIV/0!</v>
      </c>
    </row>
    <row r="105" spans="1:13" hidden="1">
      <c r="A105" s="31">
        <v>8</v>
      </c>
      <c r="B105" s="32">
        <f t="shared" si="31"/>
        <v>0</v>
      </c>
      <c r="C105" s="34" t="e">
        <f t="shared" si="32"/>
        <v>#DIV/0!</v>
      </c>
      <c r="D105" s="34" t="e">
        <f t="shared" si="33"/>
        <v>#DIV/0!</v>
      </c>
      <c r="E105" s="34" t="e">
        <f t="shared" si="34"/>
        <v>#DIV/0!</v>
      </c>
      <c r="F105" s="34" t="e">
        <f t="shared" si="35"/>
        <v>#DIV/0!</v>
      </c>
      <c r="G105" s="33"/>
      <c r="H105" s="31">
        <v>7</v>
      </c>
      <c r="I105" s="32">
        <f t="shared" si="36"/>
        <v>0</v>
      </c>
      <c r="J105" s="35" t="e">
        <f t="shared" si="37"/>
        <v>#DIV/0!</v>
      </c>
      <c r="K105" s="35" t="e">
        <f t="shared" si="38"/>
        <v>#DIV/0!</v>
      </c>
      <c r="L105" s="35" t="e">
        <f t="shared" si="39"/>
        <v>#DIV/0!</v>
      </c>
      <c r="M105" s="35" t="e">
        <f t="shared" si="40"/>
        <v>#DIV/0!</v>
      </c>
    </row>
    <row r="106" spans="1:13" hidden="1">
      <c r="A106" s="31">
        <v>9</v>
      </c>
      <c r="B106" s="32">
        <f t="shared" si="31"/>
        <v>0</v>
      </c>
      <c r="C106" s="34" t="e">
        <f t="shared" si="32"/>
        <v>#DIV/0!</v>
      </c>
      <c r="D106" s="34" t="e">
        <f t="shared" si="33"/>
        <v>#DIV/0!</v>
      </c>
      <c r="E106" s="34" t="e">
        <f t="shared" si="34"/>
        <v>#DIV/0!</v>
      </c>
      <c r="F106" s="34" t="e">
        <f t="shared" si="35"/>
        <v>#DIV/0!</v>
      </c>
      <c r="G106" s="33"/>
      <c r="H106" s="31">
        <v>8</v>
      </c>
      <c r="I106" s="32">
        <f t="shared" si="36"/>
        <v>0</v>
      </c>
      <c r="J106" s="35" t="e">
        <f t="shared" si="37"/>
        <v>#DIV/0!</v>
      </c>
      <c r="K106" s="35" t="e">
        <f t="shared" si="38"/>
        <v>#DIV/0!</v>
      </c>
      <c r="L106" s="35" t="e">
        <f t="shared" si="39"/>
        <v>#DIV/0!</v>
      </c>
      <c r="M106" s="35" t="e">
        <f t="shared" si="40"/>
        <v>#DIV/0!</v>
      </c>
    </row>
    <row r="107" spans="1:13" hidden="1">
      <c r="A107" s="31">
        <v>10</v>
      </c>
      <c r="B107" s="32">
        <f t="shared" si="31"/>
        <v>0</v>
      </c>
      <c r="C107" s="34" t="e">
        <f t="shared" si="32"/>
        <v>#DIV/0!</v>
      </c>
      <c r="D107" s="34" t="e">
        <f t="shared" si="33"/>
        <v>#DIV/0!</v>
      </c>
      <c r="E107" s="34" t="e">
        <f t="shared" si="34"/>
        <v>#DIV/0!</v>
      </c>
      <c r="F107" s="34" t="e">
        <f t="shared" si="35"/>
        <v>#DIV/0!</v>
      </c>
      <c r="G107" s="33"/>
      <c r="H107" s="31">
        <v>9</v>
      </c>
      <c r="I107" s="32">
        <f t="shared" si="36"/>
        <v>0</v>
      </c>
      <c r="J107" s="35" t="e">
        <f t="shared" si="37"/>
        <v>#DIV/0!</v>
      </c>
      <c r="K107" s="35" t="e">
        <f t="shared" si="38"/>
        <v>#DIV/0!</v>
      </c>
      <c r="L107" s="35" t="e">
        <f t="shared" si="39"/>
        <v>#DIV/0!</v>
      </c>
      <c r="M107" s="35" t="e">
        <f t="shared" si="40"/>
        <v>#DIV/0!</v>
      </c>
    </row>
    <row r="108" spans="1:13" hidden="1">
      <c r="A108" s="31" t="s">
        <v>1</v>
      </c>
      <c r="B108" s="32">
        <f t="shared" si="31"/>
        <v>0</v>
      </c>
      <c r="C108" s="34" t="e">
        <f t="shared" si="32"/>
        <v>#DIV/0!</v>
      </c>
      <c r="D108" s="34" t="e">
        <f t="shared" si="33"/>
        <v>#DIV/0!</v>
      </c>
      <c r="E108" s="34" t="e">
        <f t="shared" si="34"/>
        <v>#DIV/0!</v>
      </c>
      <c r="F108" s="34" t="e">
        <f t="shared" si="35"/>
        <v>#DIV/0!</v>
      </c>
      <c r="G108" s="33"/>
      <c r="H108" s="31">
        <v>10</v>
      </c>
      <c r="I108" s="32">
        <f t="shared" si="36"/>
        <v>0</v>
      </c>
      <c r="J108" s="35" t="e">
        <f t="shared" si="37"/>
        <v>#DIV/0!</v>
      </c>
      <c r="K108" s="35" t="e">
        <f t="shared" si="38"/>
        <v>#DIV/0!</v>
      </c>
      <c r="L108" s="35" t="e">
        <f t="shared" si="39"/>
        <v>#DIV/0!</v>
      </c>
      <c r="M108" s="35" t="e">
        <f t="shared" si="40"/>
        <v>#DIV/0!</v>
      </c>
    </row>
    <row r="109" spans="1:13" hidden="1">
      <c r="A109" s="31" t="s">
        <v>1</v>
      </c>
      <c r="B109" s="32">
        <f t="shared" si="31"/>
        <v>0</v>
      </c>
      <c r="C109" s="34" t="e">
        <f t="shared" si="32"/>
        <v>#DIV/0!</v>
      </c>
      <c r="D109" s="34" t="e">
        <f t="shared" si="33"/>
        <v>#DIV/0!</v>
      </c>
      <c r="E109" s="34" t="e">
        <f t="shared" si="34"/>
        <v>#DIV/0!</v>
      </c>
      <c r="F109" s="34" t="e">
        <f t="shared" si="35"/>
        <v>#DIV/0!</v>
      </c>
      <c r="G109" s="33"/>
      <c r="H109" s="31" t="s">
        <v>1</v>
      </c>
      <c r="I109" s="32">
        <f t="shared" si="36"/>
        <v>0</v>
      </c>
      <c r="J109" s="35" t="e">
        <f t="shared" si="37"/>
        <v>#DIV/0!</v>
      </c>
      <c r="K109" s="35" t="e">
        <f t="shared" si="38"/>
        <v>#DIV/0!</v>
      </c>
      <c r="L109" s="35" t="e">
        <f t="shared" si="39"/>
        <v>#DIV/0!</v>
      </c>
      <c r="M109" s="35" t="e">
        <f t="shared" si="40"/>
        <v>#DIV/0!</v>
      </c>
    </row>
    <row r="110" spans="1:13" hidden="1">
      <c r="A110" s="31" t="s">
        <v>1</v>
      </c>
      <c r="B110" s="32">
        <f t="shared" si="31"/>
        <v>0</v>
      </c>
      <c r="C110" s="34" t="e">
        <f t="shared" si="32"/>
        <v>#DIV/0!</v>
      </c>
      <c r="D110" s="34" t="e">
        <f t="shared" si="33"/>
        <v>#DIV/0!</v>
      </c>
      <c r="E110" s="34" t="e">
        <f t="shared" si="34"/>
        <v>#DIV/0!</v>
      </c>
      <c r="F110" s="34" t="e">
        <f t="shared" si="35"/>
        <v>#DIV/0!</v>
      </c>
      <c r="G110" s="33"/>
      <c r="H110" s="31" t="s">
        <v>1</v>
      </c>
      <c r="I110" s="32">
        <f t="shared" si="36"/>
        <v>0</v>
      </c>
      <c r="J110" s="35" t="e">
        <f t="shared" si="37"/>
        <v>#DIV/0!</v>
      </c>
      <c r="K110" s="35" t="e">
        <f t="shared" si="38"/>
        <v>#DIV/0!</v>
      </c>
      <c r="L110" s="35" t="e">
        <f t="shared" si="39"/>
        <v>#DIV/0!</v>
      </c>
      <c r="M110" s="35" t="e">
        <f t="shared" si="40"/>
        <v>#DIV/0!</v>
      </c>
    </row>
    <row r="111" spans="1:13" hidden="1">
      <c r="B111" t="s">
        <v>41</v>
      </c>
      <c r="C111" s="39" t="e">
        <f>C44/C45</f>
        <v>#VALUE!</v>
      </c>
      <c r="D111" s="39" t="e">
        <f>D44/D45</f>
        <v>#VALUE!</v>
      </c>
      <c r="E111" s="39" t="e">
        <f>E44/E45</f>
        <v>#VALUE!</v>
      </c>
      <c r="F111" s="39" t="e">
        <f>F44/F45</f>
        <v>#VALUE!</v>
      </c>
      <c r="H111" s="31" t="s">
        <v>1</v>
      </c>
      <c r="I111" s="32">
        <f t="shared" si="36"/>
        <v>0</v>
      </c>
      <c r="J111" s="35" t="e">
        <f t="shared" si="37"/>
        <v>#DIV/0!</v>
      </c>
      <c r="K111" s="35" t="e">
        <f t="shared" si="38"/>
        <v>#DIV/0!</v>
      </c>
      <c r="L111" s="35" t="e">
        <f t="shared" si="39"/>
        <v>#DIV/0!</v>
      </c>
      <c r="M111" s="35" t="e">
        <f t="shared" si="40"/>
        <v>#DIV/0!</v>
      </c>
    </row>
    <row r="112" spans="1:13" hidden="1"/>
  </sheetData>
  <sheetProtection selectLockedCells="1"/>
  <mergeCells count="45">
    <mergeCell ref="O56:T56"/>
    <mergeCell ref="O57:P57"/>
    <mergeCell ref="O58:P58"/>
    <mergeCell ref="O59:P59"/>
    <mergeCell ref="A3:F3"/>
    <mergeCell ref="H3:M3"/>
    <mergeCell ref="A5:B5"/>
    <mergeCell ref="H5:I5"/>
    <mergeCell ref="A6:B6"/>
    <mergeCell ref="H7:I7"/>
    <mergeCell ref="A56:F56"/>
    <mergeCell ref="H57:M57"/>
    <mergeCell ref="A57:B57"/>
    <mergeCell ref="H58:I58"/>
    <mergeCell ref="H77:I77"/>
    <mergeCell ref="A75:B75"/>
    <mergeCell ref="A22:F22"/>
    <mergeCell ref="A41:F41"/>
    <mergeCell ref="A58:B58"/>
    <mergeCell ref="H59:I59"/>
    <mergeCell ref="A59:B59"/>
    <mergeCell ref="A42:B42"/>
    <mergeCell ref="A48:F48"/>
    <mergeCell ref="A51:B51"/>
    <mergeCell ref="A24:B24"/>
    <mergeCell ref="A53:B53"/>
    <mergeCell ref="A43:A45"/>
    <mergeCell ref="A50:B50"/>
    <mergeCell ref="A52:B52"/>
    <mergeCell ref="A1:F1"/>
    <mergeCell ref="H1:M1"/>
    <mergeCell ref="H78:I78"/>
    <mergeCell ref="A97:B97"/>
    <mergeCell ref="H98:I98"/>
    <mergeCell ref="A94:F94"/>
    <mergeCell ref="H95:M95"/>
    <mergeCell ref="A95:B95"/>
    <mergeCell ref="H96:I96"/>
    <mergeCell ref="A96:B96"/>
    <mergeCell ref="H97:I97"/>
    <mergeCell ref="A77:B77"/>
    <mergeCell ref="H76:I76"/>
    <mergeCell ref="A74:F74"/>
    <mergeCell ref="H75:M75"/>
    <mergeCell ref="A76:B76"/>
  </mergeCells>
  <conditionalFormatting sqref="C43:F43">
    <cfRule type="colorScale" priority="7">
      <colorScale>
        <cfvo type="min"/>
        <cfvo type="percentile" val="50"/>
        <cfvo type="max"/>
        <color rgb="FF00B050"/>
        <color theme="7"/>
        <color rgb="FFFF0000"/>
      </colorScale>
    </cfRule>
  </conditionalFormatting>
  <conditionalFormatting sqref="J44:M44">
    <cfRule type="colorScale" priority="6">
      <colorScale>
        <cfvo type="min"/>
        <cfvo type="percentile" val="50"/>
        <cfvo type="max"/>
        <color rgb="FF00B050"/>
        <color theme="7"/>
        <color rgb="FFFF0000"/>
      </colorScale>
    </cfRule>
  </conditionalFormatting>
  <conditionalFormatting sqref="J45:M45">
    <cfRule type="colorScale" priority="4">
      <colorScale>
        <cfvo type="min"/>
        <cfvo type="percentile" val="50"/>
        <cfvo type="max"/>
        <color rgb="FF00B050"/>
        <color theme="7"/>
        <color rgb="FFFF0000"/>
      </colorScale>
    </cfRule>
  </conditionalFormatting>
  <conditionalFormatting sqref="J46:M46">
    <cfRule type="colorScale" priority="2">
      <colorScale>
        <cfvo type="min"/>
        <cfvo type="percentile" val="50"/>
        <cfvo type="max"/>
        <color rgb="FF00B050"/>
        <color theme="7"/>
        <color rgb="FFFF0000"/>
      </colorScale>
    </cfRule>
  </conditionalFormatting>
  <dataValidations count="1">
    <dataValidation allowBlank="1" sqref="C59:F59 J60:M60 C77:F77 J78:M78 C97:F97 J98:M98 R59:T59 C6:F6" xr:uid="{00000000-0002-0000-0100-000000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R105"/>
  <sheetViews>
    <sheetView zoomScale="85" zoomScaleNormal="85" workbookViewId="0">
      <selection activeCell="H1" sqref="H1:XFD1048576"/>
    </sheetView>
  </sheetViews>
  <sheetFormatPr defaultColWidth="0" defaultRowHeight="19.5"/>
  <cols>
    <col min="1" max="1" width="3.25" style="157" customWidth="1"/>
    <col min="2" max="2" width="31.25" style="157" customWidth="1"/>
    <col min="3" max="3" width="10.75" style="157" customWidth="1"/>
    <col min="4" max="4" width="19.75" style="157" customWidth="1"/>
    <col min="5" max="5" width="11.25" style="157" customWidth="1"/>
    <col min="6" max="6" width="22.75" style="157" customWidth="1"/>
    <col min="7" max="7" width="43.75" style="157" customWidth="1"/>
    <col min="8" max="8" width="10.75" style="157" hidden="1" customWidth="1"/>
    <col min="9" max="9" width="21.75" style="157" hidden="1" customWidth="1"/>
    <col min="10" max="18" width="0" style="157" hidden="1" customWidth="1"/>
    <col min="19" max="16384" width="10.75" style="157" hidden="1"/>
  </cols>
  <sheetData>
    <row r="2" spans="1:9" ht="40.15" customHeight="1">
      <c r="B2" s="364" t="s">
        <v>97</v>
      </c>
      <c r="C2" s="364"/>
      <c r="D2" s="364"/>
      <c r="E2" s="364"/>
      <c r="F2" s="364"/>
      <c r="G2" s="192"/>
    </row>
    <row r="3" spans="1:9" ht="27" customHeight="1">
      <c r="B3" s="363" t="s">
        <v>95</v>
      </c>
      <c r="C3" s="363"/>
      <c r="D3" s="363"/>
      <c r="E3" s="363"/>
      <c r="F3" s="363"/>
      <c r="G3" s="192"/>
    </row>
    <row r="4" spans="1:9" ht="27" customHeight="1">
      <c r="B4" s="193"/>
      <c r="C4" s="193"/>
      <c r="D4" s="193"/>
      <c r="E4" s="193"/>
      <c r="F4" s="193"/>
      <c r="G4" s="192"/>
    </row>
    <row r="5" spans="1:9" ht="31.15" customHeight="1">
      <c r="B5" s="361" t="s">
        <v>111</v>
      </c>
      <c r="C5" s="361"/>
      <c r="D5" s="361"/>
      <c r="E5" s="361"/>
      <c r="F5" s="361"/>
      <c r="I5" s="182"/>
    </row>
    <row r="6" spans="1:9" ht="22.15" customHeight="1">
      <c r="A6" s="184"/>
      <c r="D6" s="194"/>
      <c r="E6" s="194"/>
      <c r="F6" s="195"/>
      <c r="G6" s="196"/>
    </row>
    <row r="7" spans="1:9" s="221" customFormat="1" ht="22.15" customHeight="1">
      <c r="B7" s="365" t="s">
        <v>127</v>
      </c>
      <c r="C7" s="366"/>
      <c r="D7" s="366"/>
      <c r="E7" s="366"/>
      <c r="F7" s="367"/>
      <c r="G7" s="222"/>
    </row>
    <row r="8" spans="1:9" s="221" customFormat="1" ht="22.15" customHeight="1">
      <c r="D8" s="223"/>
      <c r="E8" s="223"/>
      <c r="F8" s="224"/>
      <c r="G8" s="222"/>
    </row>
    <row r="9" spans="1:9" s="221" customFormat="1" ht="22.15" customHeight="1">
      <c r="B9" s="191" t="s">
        <v>73</v>
      </c>
      <c r="C9" s="157"/>
      <c r="D9" s="299"/>
      <c r="E9" s="197"/>
      <c r="F9" s="198"/>
      <c r="I9" s="226"/>
    </row>
    <row r="10" spans="1:9" s="221" customFormat="1" ht="22.15" customHeight="1">
      <c r="B10" s="191"/>
      <c r="C10" s="157"/>
      <c r="D10" s="199"/>
      <c r="E10" s="197"/>
      <c r="F10" s="198"/>
      <c r="I10" s="226"/>
    </row>
    <row r="11" spans="1:9" s="221" customFormat="1" ht="22.15" customHeight="1">
      <c r="B11" s="358" t="s">
        <v>128</v>
      </c>
      <c r="C11" s="359"/>
      <c r="D11" s="359"/>
      <c r="E11" s="359"/>
      <c r="F11" s="360"/>
      <c r="I11" s="226"/>
    </row>
    <row r="12" spans="1:9" s="221" customFormat="1" ht="22.15" customHeight="1">
      <c r="B12" s="191"/>
      <c r="C12" s="157"/>
      <c r="D12" s="199"/>
      <c r="E12" s="197"/>
      <c r="F12" s="198"/>
      <c r="I12" s="226"/>
    </row>
    <row r="13" spans="1:9" s="221" customFormat="1" ht="22.15" customHeight="1">
      <c r="B13" s="191" t="s">
        <v>91</v>
      </c>
      <c r="C13" s="191"/>
      <c r="D13" s="299"/>
      <c r="E13" s="200"/>
      <c r="F13" s="198"/>
      <c r="I13" s="226"/>
    </row>
    <row r="14" spans="1:9" s="221" customFormat="1" ht="22.15" customHeight="1">
      <c r="B14" s="191"/>
      <c r="C14" s="191"/>
      <c r="D14" s="201"/>
      <c r="E14" s="200"/>
      <c r="F14" s="198"/>
      <c r="I14" s="226"/>
    </row>
    <row r="15" spans="1:9" s="221" customFormat="1" ht="22.15" customHeight="1">
      <c r="B15" s="361" t="s">
        <v>98</v>
      </c>
      <c r="C15" s="361"/>
      <c r="D15" s="361"/>
      <c r="E15" s="361"/>
      <c r="F15" s="361"/>
      <c r="I15" s="226"/>
    </row>
    <row r="16" spans="1:9" s="221" customFormat="1" ht="22.15" customHeight="1">
      <c r="B16" s="191"/>
      <c r="C16" s="191"/>
      <c r="D16" s="201"/>
      <c r="E16" s="200"/>
      <c r="F16" s="198"/>
      <c r="I16" s="226"/>
    </row>
    <row r="17" spans="2:18" s="221" customFormat="1" ht="22.15" customHeight="1">
      <c r="B17" s="358" t="s">
        <v>132</v>
      </c>
      <c r="C17" s="359"/>
      <c r="D17" s="359"/>
      <c r="E17" s="359"/>
      <c r="F17" s="360"/>
      <c r="I17" s="226"/>
    </row>
    <row r="18" spans="2:18" s="221" customFormat="1" ht="22.15" customHeight="1">
      <c r="B18" s="191"/>
      <c r="C18" s="191"/>
      <c r="D18" s="201"/>
      <c r="E18" s="200"/>
      <c r="F18" s="198"/>
      <c r="I18" s="226"/>
    </row>
    <row r="19" spans="2:18" s="221" customFormat="1" ht="22.15" customHeight="1">
      <c r="B19" s="191" t="s">
        <v>133</v>
      </c>
      <c r="C19" s="191"/>
      <c r="D19" s="300"/>
      <c r="E19" s="200"/>
      <c r="F19" s="198"/>
      <c r="I19" s="226"/>
    </row>
    <row r="20" spans="2:18" s="221" customFormat="1" ht="22.15" customHeight="1">
      <c r="B20" s="191"/>
      <c r="C20" s="191"/>
      <c r="D20" s="201"/>
      <c r="E20" s="200"/>
      <c r="F20" s="198"/>
      <c r="I20" s="226"/>
    </row>
    <row r="21" spans="2:18" s="221" customFormat="1" ht="22.15" customHeight="1">
      <c r="B21" s="358" t="s">
        <v>129</v>
      </c>
      <c r="C21" s="359"/>
      <c r="D21" s="359"/>
      <c r="E21" s="359"/>
      <c r="F21" s="360"/>
      <c r="I21" s="226"/>
    </row>
    <row r="22" spans="2:18" s="221" customFormat="1" ht="22.15" customHeight="1">
      <c r="B22" s="191"/>
      <c r="C22" s="191"/>
      <c r="D22" s="201"/>
      <c r="E22" s="200"/>
      <c r="F22" s="198"/>
      <c r="I22" s="226"/>
    </row>
    <row r="23" spans="2:18" s="221" customFormat="1" ht="22.15" customHeight="1">
      <c r="B23" s="157" t="s">
        <v>130</v>
      </c>
      <c r="C23" s="191"/>
      <c r="D23" s="301"/>
      <c r="E23" s="200"/>
      <c r="F23" s="202" t="e">
        <f>(INDEX('Phase 0'!$B$42:$F$45,MATCH('Phase 0'!B43,'Phase 0'!$B$42:$B$45),MATCH('Phase 1'!D23,'Phase 0'!$B$42:$F$42)))</f>
        <v>#N/A</v>
      </c>
      <c r="I23" s="226"/>
    </row>
    <row r="24" spans="2:18" s="221" customFormat="1" ht="22.15" customHeight="1">
      <c r="B24" s="157"/>
      <c r="C24" s="191"/>
      <c r="D24" s="203"/>
      <c r="E24" s="200"/>
      <c r="F24" s="198"/>
      <c r="I24" s="226"/>
    </row>
    <row r="25" spans="2:18" s="221" customFormat="1" ht="22.15" customHeight="1">
      <c r="B25" s="358" t="s">
        <v>99</v>
      </c>
      <c r="C25" s="359"/>
      <c r="D25" s="359"/>
      <c r="E25" s="359"/>
      <c r="F25" s="360"/>
      <c r="I25" s="226"/>
    </row>
    <row r="26" spans="2:18" s="221" customFormat="1" ht="22.15" customHeight="1">
      <c r="B26" s="157"/>
      <c r="C26" s="191"/>
      <c r="D26" s="204"/>
      <c r="E26" s="204"/>
      <c r="F26" s="195"/>
      <c r="G26" s="226"/>
      <c r="I26" s="226"/>
    </row>
    <row r="27" spans="2:18" s="221" customFormat="1" ht="22.15" customHeight="1">
      <c r="B27" s="191"/>
      <c r="C27" s="191"/>
      <c r="D27" s="194"/>
      <c r="E27" s="194"/>
      <c r="F27" s="205"/>
      <c r="G27" s="225"/>
    </row>
    <row r="28" spans="2:18" s="221" customFormat="1" ht="22.15" customHeight="1">
      <c r="B28" s="302"/>
      <c r="C28" s="182" t="s">
        <v>92</v>
      </c>
      <c r="D28" s="303"/>
      <c r="E28" s="206"/>
      <c r="F28" s="207"/>
      <c r="G28" s="227"/>
      <c r="I28" s="226"/>
      <c r="N28" s="362"/>
      <c r="O28" s="362"/>
      <c r="P28" s="362"/>
      <c r="Q28" s="362"/>
      <c r="R28" s="362"/>
    </row>
    <row r="29" spans="2:18" s="221" customFormat="1" ht="22.15" customHeight="1">
      <c r="B29" s="302"/>
      <c r="C29" s="182" t="s">
        <v>92</v>
      </c>
      <c r="D29" s="303"/>
      <c r="E29" s="206"/>
      <c r="F29" s="207"/>
      <c r="G29" s="229"/>
      <c r="I29" s="226"/>
      <c r="N29" s="228"/>
      <c r="O29" s="228"/>
      <c r="P29" s="228"/>
      <c r="Q29" s="228"/>
      <c r="R29" s="228"/>
    </row>
    <row r="30" spans="2:18" s="221" customFormat="1" ht="22.15" customHeight="1">
      <c r="B30" s="302"/>
      <c r="C30" s="182" t="s">
        <v>92</v>
      </c>
      <c r="D30" s="303"/>
      <c r="E30" s="206"/>
      <c r="F30" s="207"/>
      <c r="G30" s="229"/>
      <c r="I30" s="226"/>
      <c r="N30" s="228"/>
      <c r="O30" s="228"/>
      <c r="P30" s="228"/>
      <c r="Q30" s="228"/>
      <c r="R30" s="228"/>
    </row>
    <row r="31" spans="2:18" s="221" customFormat="1" ht="22.15" customHeight="1">
      <c r="B31" s="302"/>
      <c r="C31" s="182" t="s">
        <v>92</v>
      </c>
      <c r="D31" s="303"/>
      <c r="E31" s="206"/>
      <c r="F31" s="207"/>
      <c r="G31" s="229"/>
      <c r="I31" s="226"/>
      <c r="N31" s="228"/>
      <c r="O31" s="228"/>
      <c r="P31" s="228"/>
      <c r="Q31" s="228"/>
      <c r="R31" s="228"/>
    </row>
    <row r="32" spans="2:18" s="221" customFormat="1" ht="22.15" customHeight="1">
      <c r="B32" s="302"/>
      <c r="C32" s="182" t="s">
        <v>92</v>
      </c>
      <c r="D32" s="303"/>
      <c r="E32" s="206"/>
      <c r="F32" s="207"/>
      <c r="G32" s="229"/>
      <c r="I32" s="226"/>
      <c r="N32" s="228"/>
      <c r="O32" s="228"/>
      <c r="P32" s="228"/>
      <c r="Q32" s="228"/>
      <c r="R32" s="228"/>
    </row>
    <row r="33" spans="2:18" s="221" customFormat="1" ht="22.15" customHeight="1">
      <c r="B33" s="302"/>
      <c r="C33" s="182" t="s">
        <v>92</v>
      </c>
      <c r="D33" s="303"/>
      <c r="E33" s="206"/>
      <c r="F33" s="207"/>
      <c r="G33" s="229"/>
      <c r="I33" s="226"/>
      <c r="N33" s="228"/>
      <c r="O33" s="228"/>
      <c r="P33" s="228"/>
      <c r="Q33" s="228"/>
      <c r="R33" s="228"/>
    </row>
    <row r="34" spans="2:18" s="221" customFormat="1" ht="22.15" customHeight="1">
      <c r="B34" s="208"/>
      <c r="C34" s="157"/>
      <c r="D34" s="209"/>
      <c r="E34" s="206"/>
      <c r="F34" s="207"/>
      <c r="G34" s="229"/>
      <c r="I34" s="226"/>
      <c r="N34" s="228"/>
      <c r="O34" s="228"/>
      <c r="P34" s="228"/>
      <c r="Q34" s="228"/>
      <c r="R34" s="228"/>
    </row>
    <row r="35" spans="2:18" s="221" customFormat="1" ht="22.15" customHeight="1">
      <c r="B35" s="361" t="s">
        <v>100</v>
      </c>
      <c r="C35" s="361"/>
      <c r="D35" s="361"/>
      <c r="E35" s="361"/>
      <c r="F35" s="361"/>
      <c r="G35" s="229"/>
      <c r="I35" s="226"/>
      <c r="N35" s="228"/>
      <c r="O35" s="228"/>
      <c r="P35" s="228"/>
      <c r="Q35" s="228"/>
      <c r="R35" s="228"/>
    </row>
    <row r="36" spans="2:18" s="221" customFormat="1" ht="22.15" customHeight="1">
      <c r="B36" s="157"/>
      <c r="C36" s="157"/>
      <c r="D36" s="209"/>
      <c r="E36" s="206"/>
      <c r="F36" s="207"/>
      <c r="G36" s="230"/>
      <c r="I36" s="226"/>
      <c r="N36" s="228"/>
      <c r="O36" s="228"/>
      <c r="P36" s="228"/>
      <c r="Q36" s="228"/>
      <c r="R36" s="228"/>
    </row>
    <row r="37" spans="2:18" s="221" customFormat="1" ht="22.15" customHeight="1">
      <c r="B37" s="358" t="s">
        <v>131</v>
      </c>
      <c r="C37" s="359"/>
      <c r="D37" s="359"/>
      <c r="E37" s="359"/>
      <c r="F37" s="360"/>
      <c r="G37" s="230"/>
      <c r="I37" s="226"/>
      <c r="N37" s="228"/>
      <c r="O37" s="228"/>
      <c r="P37" s="228"/>
      <c r="Q37" s="228"/>
      <c r="R37" s="228"/>
    </row>
    <row r="38" spans="2:18" s="221" customFormat="1" ht="22.15" customHeight="1">
      <c r="B38" s="157"/>
      <c r="C38" s="157"/>
      <c r="D38" s="209"/>
      <c r="E38" s="206"/>
      <c r="F38" s="207"/>
      <c r="G38" s="230"/>
      <c r="I38" s="226"/>
      <c r="N38" s="228"/>
      <c r="O38" s="228"/>
      <c r="P38" s="228"/>
      <c r="Q38" s="228"/>
      <c r="R38" s="228"/>
    </row>
    <row r="39" spans="2:18" s="221" customFormat="1" ht="22.15" customHeight="1">
      <c r="B39" s="210" t="s">
        <v>66</v>
      </c>
      <c r="C39" s="157"/>
      <c r="D39" s="304"/>
      <c r="E39" s="194"/>
      <c r="F39" s="211"/>
    </row>
    <row r="40" spans="2:18" s="221" customFormat="1" ht="22.15" customHeight="1">
      <c r="B40" s="157"/>
      <c r="C40" s="157"/>
      <c r="D40" s="209"/>
      <c r="E40" s="206"/>
      <c r="F40" s="207"/>
      <c r="G40" s="230"/>
      <c r="I40" s="226"/>
      <c r="N40" s="228"/>
      <c r="O40" s="228"/>
      <c r="P40" s="228"/>
      <c r="Q40" s="228"/>
      <c r="R40" s="228"/>
    </row>
    <row r="41" spans="2:18" s="221" customFormat="1" ht="22.15" customHeight="1">
      <c r="B41" s="358" t="s">
        <v>101</v>
      </c>
      <c r="C41" s="359"/>
      <c r="D41" s="359"/>
      <c r="E41" s="359"/>
      <c r="F41" s="360"/>
      <c r="G41" s="230"/>
      <c r="I41" s="226"/>
      <c r="N41" s="228"/>
      <c r="O41" s="228"/>
      <c r="P41" s="228"/>
      <c r="Q41" s="228"/>
      <c r="R41" s="228"/>
    </row>
    <row r="42" spans="2:18" s="221" customFormat="1" ht="22.15" customHeight="1">
      <c r="B42" s="157"/>
      <c r="C42" s="157"/>
      <c r="D42" s="209"/>
      <c r="E42" s="206"/>
      <c r="F42" s="207"/>
      <c r="G42" s="230"/>
      <c r="I42" s="226"/>
      <c r="N42" s="228"/>
      <c r="O42" s="228"/>
      <c r="P42" s="228"/>
      <c r="Q42" s="228"/>
      <c r="R42" s="228"/>
    </row>
    <row r="43" spans="2:18" s="221" customFormat="1" ht="22.15" customHeight="1">
      <c r="B43" s="305" t="s">
        <v>68</v>
      </c>
      <c r="C43" s="182" t="s">
        <v>2</v>
      </c>
      <c r="D43" s="306"/>
      <c r="E43" s="194"/>
      <c r="F43" s="211"/>
    </row>
    <row r="44" spans="2:18" s="221" customFormat="1" ht="22.15" customHeight="1">
      <c r="B44" s="212"/>
      <c r="C44" s="157"/>
      <c r="D44" s="199"/>
      <c r="E44" s="194"/>
      <c r="F44" s="211"/>
    </row>
    <row r="45" spans="2:18" s="221" customFormat="1" ht="22.15" customHeight="1">
      <c r="B45" s="358" t="s">
        <v>102</v>
      </c>
      <c r="C45" s="359"/>
      <c r="D45" s="359"/>
      <c r="E45" s="359"/>
      <c r="F45" s="360"/>
    </row>
    <row r="46" spans="2:18" s="221" customFormat="1" ht="22.15" customHeight="1">
      <c r="B46" s="212"/>
      <c r="C46" s="157"/>
      <c r="D46" s="199"/>
      <c r="E46" s="194"/>
      <c r="F46" s="211"/>
    </row>
    <row r="47" spans="2:18" s="221" customFormat="1" ht="22.15" customHeight="1">
      <c r="B47" s="305"/>
      <c r="C47" s="182" t="s">
        <v>2</v>
      </c>
      <c r="D47" s="329"/>
      <c r="E47" s="213"/>
      <c r="F47" s="214"/>
      <c r="G47" s="231"/>
    </row>
    <row r="48" spans="2:18" s="221" customFormat="1" ht="22.15" customHeight="1">
      <c r="B48" s="212"/>
      <c r="C48" s="157"/>
      <c r="D48" s="199"/>
      <c r="E48" s="213"/>
      <c r="F48" s="214"/>
      <c r="G48" s="231"/>
    </row>
    <row r="49" spans="2:7" s="221" customFormat="1" ht="22.15" customHeight="1">
      <c r="B49" s="358" t="s">
        <v>103</v>
      </c>
      <c r="C49" s="359"/>
      <c r="D49" s="359"/>
      <c r="E49" s="359"/>
      <c r="F49" s="360"/>
      <c r="G49" s="231"/>
    </row>
    <row r="50" spans="2:7" s="221" customFormat="1" ht="22.15" customHeight="1">
      <c r="B50" s="212"/>
      <c r="C50" s="157"/>
      <c r="D50" s="199"/>
      <c r="E50" s="213"/>
      <c r="F50" s="214"/>
      <c r="G50" s="231"/>
    </row>
    <row r="51" spans="2:7" s="221" customFormat="1" ht="22.15" customHeight="1">
      <c r="B51" s="305"/>
      <c r="C51" s="182" t="s">
        <v>2</v>
      </c>
      <c r="D51" s="306"/>
      <c r="E51" s="213"/>
      <c r="F51" s="214"/>
      <c r="G51" s="231"/>
    </row>
    <row r="52" spans="2:7" s="221" customFormat="1" ht="22.15" customHeight="1">
      <c r="B52" s="212"/>
      <c r="C52" s="157"/>
      <c r="D52" s="199"/>
      <c r="E52" s="213"/>
      <c r="F52" s="214"/>
      <c r="G52" s="231"/>
    </row>
    <row r="53" spans="2:7" s="221" customFormat="1" ht="22.15" customHeight="1">
      <c r="B53" s="358" t="s">
        <v>105</v>
      </c>
      <c r="C53" s="359"/>
      <c r="D53" s="359"/>
      <c r="E53" s="359"/>
      <c r="F53" s="360"/>
      <c r="G53" s="231"/>
    </row>
    <row r="54" spans="2:7" s="221" customFormat="1" ht="22.15" customHeight="1">
      <c r="B54" s="212"/>
      <c r="C54" s="157"/>
      <c r="D54" s="199"/>
      <c r="E54" s="213"/>
      <c r="F54" s="214"/>
      <c r="G54" s="231"/>
    </row>
    <row r="55" spans="2:7" s="221" customFormat="1" ht="22.15" customHeight="1">
      <c r="B55" s="305"/>
      <c r="C55" s="307"/>
      <c r="D55" s="329"/>
      <c r="E55" s="213"/>
      <c r="F55" s="214"/>
      <c r="G55" s="231"/>
    </row>
    <row r="56" spans="2:7" s="221" customFormat="1" ht="22.15" customHeight="1">
      <c r="B56" s="305"/>
      <c r="C56" s="307"/>
      <c r="D56" s="329"/>
      <c r="E56" s="213"/>
      <c r="F56" s="214"/>
      <c r="G56" s="231"/>
    </row>
    <row r="57" spans="2:7" s="221" customFormat="1" ht="22.15" customHeight="1">
      <c r="B57" s="305"/>
      <c r="C57" s="307"/>
      <c r="D57" s="329"/>
      <c r="E57" s="213"/>
      <c r="F57" s="214"/>
      <c r="G57" s="231"/>
    </row>
    <row r="58" spans="2:7" s="221" customFormat="1" ht="22.15" customHeight="1">
      <c r="B58" s="305"/>
      <c r="C58" s="307"/>
      <c r="D58" s="306"/>
      <c r="E58" s="213"/>
      <c r="F58" s="214"/>
      <c r="G58" s="231"/>
    </row>
    <row r="59" spans="2:7" s="221" customFormat="1" ht="22.15" customHeight="1">
      <c r="B59" s="182"/>
      <c r="C59" s="157"/>
      <c r="D59" s="215"/>
      <c r="E59" s="213"/>
      <c r="F59" s="214"/>
      <c r="G59" s="231"/>
    </row>
    <row r="60" spans="2:7" s="221" customFormat="1" ht="22.15" customHeight="1">
      <c r="B60" s="182"/>
      <c r="C60" s="157"/>
      <c r="D60" s="215"/>
      <c r="E60" s="213"/>
      <c r="F60" s="214"/>
      <c r="G60" s="231"/>
    </row>
    <row r="61" spans="2:7" s="221" customFormat="1" ht="22.15" customHeight="1">
      <c r="B61" s="361" t="s">
        <v>104</v>
      </c>
      <c r="C61" s="361"/>
      <c r="D61" s="361"/>
      <c r="E61" s="361"/>
      <c r="F61" s="361"/>
      <c r="G61" s="231"/>
    </row>
    <row r="62" spans="2:7" s="221" customFormat="1" ht="22.15" customHeight="1">
      <c r="B62" s="182"/>
      <c r="C62" s="157"/>
      <c r="D62" s="215"/>
      <c r="E62" s="213"/>
      <c r="F62" s="214"/>
      <c r="G62" s="231"/>
    </row>
    <row r="63" spans="2:7" s="221" customFormat="1" ht="22.15" customHeight="1">
      <c r="B63" s="358" t="s">
        <v>106</v>
      </c>
      <c r="C63" s="359"/>
      <c r="D63" s="359"/>
      <c r="E63" s="359"/>
      <c r="F63" s="360"/>
      <c r="G63" s="231"/>
    </row>
    <row r="64" spans="2:7" s="221" customFormat="1" ht="22.15" customHeight="1">
      <c r="B64" s="157"/>
      <c r="C64" s="210"/>
      <c r="D64" s="215"/>
      <c r="E64" s="204"/>
      <c r="F64" s="216"/>
      <c r="G64" s="229"/>
    </row>
    <row r="65" spans="2:7" s="221" customFormat="1" ht="22.15" customHeight="1">
      <c r="B65" s="306"/>
      <c r="C65" s="217"/>
      <c r="D65" s="199"/>
      <c r="E65" s="204"/>
      <c r="F65" s="204"/>
      <c r="G65" s="232"/>
    </row>
    <row r="66" spans="2:7" s="221" customFormat="1" ht="22.15" customHeight="1">
      <c r="B66" s="306"/>
      <c r="C66" s="217"/>
      <c r="D66" s="199"/>
      <c r="E66" s="157"/>
      <c r="F66" s="157"/>
    </row>
    <row r="67" spans="2:7" s="221" customFormat="1" ht="22.15" customHeight="1">
      <c r="B67" s="306"/>
      <c r="C67" s="217"/>
      <c r="D67" s="199"/>
      <c r="E67" s="216"/>
      <c r="F67" s="204"/>
    </row>
    <row r="68" spans="2:7" s="221" customFormat="1" ht="22.15" customHeight="1">
      <c r="B68" s="306"/>
      <c r="C68" s="217"/>
      <c r="D68" s="199"/>
      <c r="E68" s="216"/>
      <c r="F68" s="204"/>
    </row>
    <row r="69" spans="2:7" s="221" customFormat="1" ht="22.15" customHeight="1">
      <c r="B69" s="306"/>
      <c r="C69" s="217"/>
      <c r="D69" s="199"/>
      <c r="E69" s="216"/>
      <c r="F69" s="204"/>
    </row>
    <row r="70" spans="2:7" s="221" customFormat="1" ht="22.15" customHeight="1">
      <c r="B70" s="199"/>
      <c r="C70" s="217"/>
      <c r="D70" s="199"/>
      <c r="E70" s="216"/>
      <c r="F70" s="204"/>
    </row>
    <row r="71" spans="2:7" s="221" customFormat="1" ht="22.15" customHeight="1">
      <c r="B71" s="358" t="s">
        <v>107</v>
      </c>
      <c r="C71" s="359"/>
      <c r="D71" s="359"/>
      <c r="E71" s="359"/>
      <c r="F71" s="360"/>
    </row>
    <row r="72" spans="2:7" s="221" customFormat="1" ht="22.15" customHeight="1">
      <c r="B72" s="199"/>
      <c r="C72" s="217"/>
      <c r="D72" s="199"/>
      <c r="E72" s="216"/>
      <c r="F72" s="204"/>
    </row>
    <row r="73" spans="2:7" s="221" customFormat="1" ht="22.15" customHeight="1">
      <c r="B73" s="218">
        <f>B65</f>
        <v>0</v>
      </c>
      <c r="C73" s="330"/>
      <c r="D73" s="199"/>
      <c r="E73" s="204"/>
      <c r="F73" s="204"/>
      <c r="G73" s="232"/>
    </row>
    <row r="74" spans="2:7" s="221" customFormat="1" ht="22.15" customHeight="1">
      <c r="B74" s="218">
        <f t="shared" ref="B74:B77" si="0">B66</f>
        <v>0</v>
      </c>
      <c r="C74" s="330"/>
      <c r="D74" s="199"/>
      <c r="E74" s="157"/>
      <c r="F74" s="157"/>
    </row>
    <row r="75" spans="2:7" s="221" customFormat="1" ht="22.15" customHeight="1">
      <c r="B75" s="218">
        <f t="shared" si="0"/>
        <v>0</v>
      </c>
      <c r="C75" s="330"/>
      <c r="D75" s="199"/>
      <c r="E75" s="216"/>
      <c r="F75" s="204"/>
    </row>
    <row r="76" spans="2:7" s="221" customFormat="1" ht="22.15" customHeight="1">
      <c r="B76" s="218">
        <f t="shared" si="0"/>
        <v>0</v>
      </c>
      <c r="C76" s="330"/>
      <c r="D76" s="199"/>
      <c r="E76" s="216"/>
      <c r="F76" s="204"/>
    </row>
    <row r="77" spans="2:7" s="221" customFormat="1" ht="22.15" customHeight="1">
      <c r="B77" s="218">
        <f t="shared" si="0"/>
        <v>0</v>
      </c>
      <c r="C77" s="330"/>
      <c r="D77" s="199"/>
      <c r="E77" s="216"/>
      <c r="F77" s="204"/>
    </row>
    <row r="78" spans="2:7" s="221" customFormat="1" ht="22.15" customHeight="1">
      <c r="B78" s="199"/>
      <c r="C78" s="217"/>
      <c r="D78" s="199"/>
      <c r="E78" s="216"/>
      <c r="F78" s="204"/>
    </row>
    <row r="79" spans="2:7" s="221" customFormat="1" ht="22.15" customHeight="1">
      <c r="B79" s="358" t="s">
        <v>108</v>
      </c>
      <c r="C79" s="359"/>
      <c r="D79" s="359"/>
      <c r="E79" s="359"/>
      <c r="F79" s="360"/>
    </row>
    <row r="80" spans="2:7" s="221" customFormat="1" ht="22.15" customHeight="1">
      <c r="B80" s="199"/>
      <c r="C80" s="217"/>
      <c r="D80" s="199"/>
      <c r="E80" s="216"/>
      <c r="F80" s="204"/>
    </row>
    <row r="81" spans="2:7" s="221" customFormat="1" ht="22.15" customHeight="1">
      <c r="B81" s="218">
        <f>B65</f>
        <v>0</v>
      </c>
      <c r="C81" s="219">
        <f>C73</f>
        <v>0</v>
      </c>
      <c r="D81" s="331"/>
      <c r="E81" s="182" t="s">
        <v>2</v>
      </c>
      <c r="F81" s="204"/>
      <c r="G81" s="232"/>
    </row>
    <row r="82" spans="2:7" s="221" customFormat="1" ht="22.15" customHeight="1">
      <c r="B82" s="218">
        <f t="shared" ref="B82:B85" si="1">B66</f>
        <v>0</v>
      </c>
      <c r="C82" s="219">
        <f t="shared" ref="C82:C85" si="2">C74</f>
        <v>0</v>
      </c>
      <c r="D82" s="331"/>
      <c r="E82" s="182" t="s">
        <v>2</v>
      </c>
      <c r="F82" s="157"/>
    </row>
    <row r="83" spans="2:7" s="221" customFormat="1" ht="22.15" customHeight="1">
      <c r="B83" s="218">
        <f t="shared" si="1"/>
        <v>0</v>
      </c>
      <c r="C83" s="219">
        <f t="shared" si="2"/>
        <v>0</v>
      </c>
      <c r="D83" s="331"/>
      <c r="E83" s="182" t="s">
        <v>2</v>
      </c>
      <c r="F83" s="204"/>
    </row>
    <row r="84" spans="2:7" s="221" customFormat="1" ht="22.15" customHeight="1">
      <c r="B84" s="218">
        <f t="shared" si="1"/>
        <v>0</v>
      </c>
      <c r="C84" s="219">
        <f t="shared" si="2"/>
        <v>0</v>
      </c>
      <c r="D84" s="331"/>
      <c r="E84" s="182" t="s">
        <v>2</v>
      </c>
      <c r="F84" s="204"/>
    </row>
    <row r="85" spans="2:7" s="221" customFormat="1" ht="22.15" customHeight="1">
      <c r="B85" s="218">
        <f t="shared" si="1"/>
        <v>0</v>
      </c>
      <c r="C85" s="219">
        <f t="shared" si="2"/>
        <v>0</v>
      </c>
      <c r="D85" s="331"/>
      <c r="E85" s="182" t="s">
        <v>2</v>
      </c>
      <c r="F85" s="204"/>
    </row>
    <row r="86" spans="2:7" s="221" customFormat="1" ht="22.15" customHeight="1">
      <c r="B86" s="199"/>
      <c r="C86" s="217"/>
      <c r="D86" s="199"/>
      <c r="E86" s="216"/>
      <c r="F86" s="204"/>
    </row>
    <row r="87" spans="2:7" s="221" customFormat="1" ht="22.15" customHeight="1">
      <c r="B87" s="199"/>
      <c r="C87" s="217"/>
      <c r="D87" s="199"/>
      <c r="E87" s="216"/>
      <c r="F87" s="204"/>
    </row>
    <row r="88" spans="2:7" s="221" customFormat="1" ht="22.15" customHeight="1">
      <c r="B88" s="361" t="s">
        <v>109</v>
      </c>
      <c r="C88" s="361"/>
      <c r="D88" s="361"/>
      <c r="E88" s="361"/>
      <c r="F88" s="361"/>
    </row>
    <row r="89" spans="2:7" s="221" customFormat="1" ht="22.15" customHeight="1">
      <c r="B89" s="199"/>
      <c r="C89" s="217"/>
      <c r="D89" s="199"/>
      <c r="E89" s="216"/>
      <c r="F89" s="204"/>
    </row>
    <row r="90" spans="2:7" s="221" customFormat="1" ht="22.15" customHeight="1">
      <c r="B90" s="157" t="s">
        <v>140</v>
      </c>
      <c r="C90" s="217"/>
      <c r="D90" s="308"/>
      <c r="E90" s="216"/>
      <c r="F90" s="204"/>
    </row>
    <row r="91" spans="2:7" s="221" customFormat="1" ht="22.15" customHeight="1">
      <c r="B91" s="199"/>
      <c r="C91" s="217"/>
      <c r="D91" s="199"/>
      <c r="E91" s="216"/>
      <c r="F91" s="204"/>
    </row>
    <row r="92" spans="2:7" s="221" customFormat="1" ht="22.15" customHeight="1">
      <c r="B92" s="157" t="s">
        <v>135</v>
      </c>
      <c r="C92" s="157"/>
      <c r="D92" s="329"/>
      <c r="E92" s="182" t="s">
        <v>74</v>
      </c>
      <c r="F92" s="157"/>
    </row>
    <row r="93" spans="2:7" s="221" customFormat="1" ht="22.15" customHeight="1">
      <c r="B93" s="157"/>
      <c r="C93" s="157"/>
      <c r="D93" s="157"/>
      <c r="E93" s="157"/>
      <c r="F93" s="157"/>
    </row>
    <row r="94" spans="2:7" s="221" customFormat="1" ht="22.15" customHeight="1">
      <c r="B94" s="157"/>
      <c r="C94" s="157"/>
      <c r="D94" s="157"/>
      <c r="E94" s="157"/>
      <c r="F94" s="157"/>
    </row>
    <row r="95" spans="2:7" s="221" customFormat="1" ht="22.15" customHeight="1">
      <c r="B95" s="361" t="s">
        <v>110</v>
      </c>
      <c r="C95" s="361"/>
      <c r="D95" s="361"/>
      <c r="E95" s="361"/>
      <c r="F95" s="361"/>
    </row>
    <row r="96" spans="2:7" s="221" customFormat="1" ht="22.15" customHeight="1">
      <c r="B96" s="157"/>
      <c r="C96" s="157"/>
      <c r="D96" s="157"/>
      <c r="E96" s="157"/>
      <c r="F96" s="157"/>
    </row>
    <row r="97" spans="1:7" s="221" customFormat="1" ht="22.15" customHeight="1">
      <c r="A97" s="226"/>
      <c r="B97" s="182" t="s">
        <v>146</v>
      </c>
      <c r="C97" s="182"/>
      <c r="D97" s="182" t="s">
        <v>141</v>
      </c>
      <c r="E97" s="182"/>
      <c r="F97" s="182" t="s">
        <v>142</v>
      </c>
    </row>
    <row r="98" spans="1:7" s="221" customFormat="1" ht="22.15" customHeight="1">
      <c r="B98" s="299" t="s">
        <v>80</v>
      </c>
      <c r="C98" s="157"/>
      <c r="D98" s="299"/>
      <c r="E98" s="307"/>
      <c r="F98" s="309"/>
      <c r="G98" s="226" t="s">
        <v>72</v>
      </c>
    </row>
    <row r="99" spans="1:7" s="221" customFormat="1" ht="22.15" customHeight="1">
      <c r="B99" s="299" t="s">
        <v>81</v>
      </c>
      <c r="C99" s="157"/>
      <c r="D99" s="299"/>
      <c r="E99" s="307"/>
      <c r="F99" s="309"/>
      <c r="G99" s="226" t="s">
        <v>72</v>
      </c>
    </row>
    <row r="100" spans="1:7" s="221" customFormat="1" ht="22.15" customHeight="1">
      <c r="B100" s="299" t="s">
        <v>82</v>
      </c>
      <c r="C100" s="157"/>
      <c r="D100" s="299"/>
      <c r="E100" s="307"/>
      <c r="F100" s="309"/>
      <c r="G100" s="226" t="s">
        <v>72</v>
      </c>
    </row>
    <row r="101" spans="1:7" s="221" customFormat="1" ht="22.15" customHeight="1">
      <c r="B101" s="299" t="s">
        <v>83</v>
      </c>
      <c r="C101" s="157"/>
      <c r="D101" s="299"/>
      <c r="E101" s="307"/>
      <c r="F101" s="309"/>
      <c r="G101" s="226" t="s">
        <v>72</v>
      </c>
    </row>
    <row r="102" spans="1:7" s="221" customFormat="1" ht="22.15" customHeight="1">
      <c r="B102" s="157"/>
      <c r="C102" s="157"/>
      <c r="D102" s="307"/>
      <c r="E102" s="307"/>
      <c r="F102" s="307"/>
    </row>
    <row r="103" spans="1:7" s="221" customFormat="1" ht="22.15" customHeight="1">
      <c r="B103" s="182"/>
      <c r="C103" s="220"/>
      <c r="D103" s="310"/>
      <c r="E103" s="307"/>
      <c r="F103" s="307"/>
    </row>
    <row r="104" spans="1:7" s="221" customFormat="1" ht="22.15" customHeight="1">
      <c r="B104" s="210" t="s">
        <v>143</v>
      </c>
      <c r="C104" s="157"/>
      <c r="D104" s="311"/>
      <c r="E104" s="307"/>
      <c r="F104" s="307"/>
    </row>
    <row r="105" spans="1:7" ht="22.15" customHeight="1"/>
  </sheetData>
  <sheetProtection selectLockedCells="1"/>
  <mergeCells count="22">
    <mergeCell ref="B2:F2"/>
    <mergeCell ref="B7:F7"/>
    <mergeCell ref="B11:F11"/>
    <mergeCell ref="B15:F15"/>
    <mergeCell ref="B21:F21"/>
    <mergeCell ref="B17:F17"/>
    <mergeCell ref="B79:F79"/>
    <mergeCell ref="B88:F88"/>
    <mergeCell ref="N28:R28"/>
    <mergeCell ref="B3:F3"/>
    <mergeCell ref="B95:F95"/>
    <mergeCell ref="B25:F25"/>
    <mergeCell ref="B35:F35"/>
    <mergeCell ref="B37:F37"/>
    <mergeCell ref="B41:F41"/>
    <mergeCell ref="B45:F45"/>
    <mergeCell ref="B49:F49"/>
    <mergeCell ref="B53:F53"/>
    <mergeCell ref="B61:F61"/>
    <mergeCell ref="B63:F63"/>
    <mergeCell ref="B71:F71"/>
    <mergeCell ref="B5:F5"/>
  </mergeCells>
  <dataValidations count="1">
    <dataValidation type="list" allowBlank="1" showInputMessage="1" showErrorMessage="1" sqref="D23" xr:uid="{00000000-0002-0000-0200-000000000000}">
      <formula1>"1,2,3,4"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42"/>
  <sheetViews>
    <sheetView zoomScale="103" zoomScaleNormal="80" workbookViewId="0">
      <pane ySplit="2" topLeftCell="A3" activePane="bottomLeft" state="frozen"/>
      <selection pane="bottomLeft" activeCell="E40" activeCellId="4" sqref="E8 E17 E28 E35 E40"/>
    </sheetView>
  </sheetViews>
  <sheetFormatPr defaultColWidth="0" defaultRowHeight="15"/>
  <cols>
    <col min="1" max="1" width="23.75" style="14" customWidth="1"/>
    <col min="2" max="2" width="5" style="14" customWidth="1"/>
    <col min="3" max="3" width="19.75" style="14" customWidth="1"/>
    <col min="4" max="4" width="11.25" style="14" customWidth="1"/>
    <col min="5" max="5" width="26.75" style="14" customWidth="1"/>
    <col min="6" max="6" width="43.75" style="14" customWidth="1"/>
    <col min="7" max="7" width="10.75" style="14" hidden="1" customWidth="1"/>
    <col min="8" max="8" width="21.75" style="14" hidden="1" customWidth="1"/>
    <col min="9" max="16384" width="10.75" style="14" hidden="1"/>
  </cols>
  <sheetData>
    <row r="1" spans="1:7" ht="48" customHeight="1">
      <c r="A1" s="368" t="s">
        <v>144</v>
      </c>
      <c r="B1" s="368"/>
      <c r="C1" s="368"/>
      <c r="D1" s="368"/>
      <c r="E1" s="368"/>
      <c r="F1" s="48"/>
    </row>
    <row r="2" spans="1:7" ht="24" customHeight="1">
      <c r="A2" s="185" t="s">
        <v>117</v>
      </c>
      <c r="B2" s="186">
        <f>'Phase 1'!D23</f>
        <v>0</v>
      </c>
      <c r="C2" s="187">
        <f>'Phase 1'!D90</f>
        <v>0</v>
      </c>
      <c r="D2" s="188" t="e">
        <f>(INDEX('Phase 0'!$B$42:$F$45,MATCH('Phase 0'!B43,'Phase 0'!$B$42:$B$45),MATCH('Phase 1'!D23,'Phase 0'!$B$42:$F$42)))</f>
        <v>#N/A</v>
      </c>
      <c r="E2" s="189" t="s">
        <v>79</v>
      </c>
    </row>
    <row r="3" spans="1:7" ht="8.1" customHeight="1">
      <c r="A3" s="157"/>
      <c r="B3" s="157"/>
      <c r="C3" s="157"/>
      <c r="D3" s="157"/>
      <c r="E3" s="157"/>
    </row>
    <row r="4" spans="1:7" ht="21" customHeight="1">
      <c r="A4" s="157"/>
      <c r="B4" s="157"/>
      <c r="C4" s="190">
        <f>'Phase 1'!D90</f>
        <v>0</v>
      </c>
      <c r="D4" s="157"/>
      <c r="E4" s="190" t="s">
        <v>75</v>
      </c>
    </row>
    <row r="5" spans="1:7" ht="8.1" customHeight="1">
      <c r="A5" s="157"/>
      <c r="B5" s="157"/>
      <c r="C5" s="157"/>
      <c r="D5" s="157"/>
      <c r="E5" s="157"/>
    </row>
    <row r="6" spans="1:7" ht="19.5">
      <c r="A6" s="191" t="s">
        <v>84</v>
      </c>
      <c r="B6" s="157"/>
      <c r="C6" s="162">
        <f>'Phase 1'!D9*12</f>
        <v>0</v>
      </c>
      <c r="D6" s="162"/>
      <c r="E6" s="162">
        <f>C6</f>
        <v>0</v>
      </c>
      <c r="F6" s="126"/>
      <c r="G6" s="127"/>
    </row>
    <row r="7" spans="1:7" ht="19.5">
      <c r="A7" s="191" t="s">
        <v>78</v>
      </c>
      <c r="B7" s="157"/>
      <c r="C7" s="162">
        <f>'Phase 1'!D13</f>
        <v>0</v>
      </c>
      <c r="D7" s="162"/>
      <c r="E7" s="243" t="e">
        <f>C7/'Phase 1'!$D$92</f>
        <v>#DIV/0!</v>
      </c>
      <c r="F7" s="126"/>
      <c r="G7" s="127"/>
    </row>
    <row r="8" spans="1:7" ht="19.5">
      <c r="A8" s="163" t="s">
        <v>13</v>
      </c>
      <c r="B8" s="163"/>
      <c r="C8" s="312" t="str">
        <f>TEXT('Phase 1'!D90,"#,##0;;@")&amp;" "&amp;TEXT(C6*C7,"#,##0;-0,000;@")</f>
        <v>0 0</v>
      </c>
      <c r="D8" s="270"/>
      <c r="E8" s="382" t="e">
        <f>(C6*C7)/'Phase 1'!$D$92</f>
        <v>#DIV/0!</v>
      </c>
      <c r="F8" s="45"/>
    </row>
    <row r="9" spans="1:7" ht="8.1" customHeight="1">
      <c r="A9" s="157"/>
      <c r="B9" s="157"/>
      <c r="C9" s="157"/>
      <c r="D9" s="157"/>
      <c r="E9" s="157"/>
    </row>
    <row r="10" spans="1:7" ht="16.149999999999999" customHeight="1">
      <c r="A10" s="191" t="s">
        <v>71</v>
      </c>
      <c r="B10" s="157"/>
      <c r="C10" s="313" t="e">
        <f>(INDEX('Phase 0'!$B$42:$F$45,MATCH('Phase 0'!B43,'Phase 0'!$B$42:$B$45),MATCH('Phase 1'!D23,'Phase 0'!$B$42:$F$42)))*($C$6*(1+'Phase 1'!D19))</f>
        <v>#N/A</v>
      </c>
      <c r="D10" s="168"/>
      <c r="E10" s="243" t="e">
        <f>C10/'Phase 1'!$D$92</f>
        <v>#N/A</v>
      </c>
      <c r="F10" s="19"/>
    </row>
    <row r="11" spans="1:7" ht="19.5">
      <c r="A11" s="191">
        <f>'Phase 1'!B28</f>
        <v>0</v>
      </c>
      <c r="B11" s="157"/>
      <c r="C11" s="243">
        <f>$C$6*'Phase 1'!D28</f>
        <v>0</v>
      </c>
      <c r="D11" s="168"/>
      <c r="E11" s="243" t="e">
        <f>C11/'Phase 1'!$D$92</f>
        <v>#DIV/0!</v>
      </c>
      <c r="F11" s="19"/>
    </row>
    <row r="12" spans="1:7" ht="21" customHeight="1">
      <c r="A12" s="191">
        <f>'Phase 1'!B29</f>
        <v>0</v>
      </c>
      <c r="B12" s="157"/>
      <c r="C12" s="243">
        <f>$C$6*'Phase 1'!D29</f>
        <v>0</v>
      </c>
      <c r="D12" s="168"/>
      <c r="E12" s="243" t="e">
        <f>C12/'Phase 1'!$D$92</f>
        <v>#DIV/0!</v>
      </c>
      <c r="F12" s="19"/>
    </row>
    <row r="13" spans="1:7" ht="21" customHeight="1">
      <c r="A13" s="191">
        <f>'Phase 1'!B30</f>
        <v>0</v>
      </c>
      <c r="B13" s="157"/>
      <c r="C13" s="243">
        <f>$C$6*'Phase 1'!D30</f>
        <v>0</v>
      </c>
      <c r="D13" s="168"/>
      <c r="E13" s="243" t="e">
        <f>C13/'Phase 1'!$D$92</f>
        <v>#DIV/0!</v>
      </c>
      <c r="F13" s="146"/>
    </row>
    <row r="14" spans="1:7" ht="21" customHeight="1">
      <c r="A14" s="191">
        <f>'Phase 1'!B31</f>
        <v>0</v>
      </c>
      <c r="B14" s="157"/>
      <c r="C14" s="243">
        <f>$C$6*'Phase 1'!D31</f>
        <v>0</v>
      </c>
      <c r="D14" s="168"/>
      <c r="E14" s="243" t="e">
        <f>C14/'Phase 1'!$D$92</f>
        <v>#DIV/0!</v>
      </c>
      <c r="F14" s="19"/>
    </row>
    <row r="15" spans="1:7" ht="21" customHeight="1">
      <c r="A15" s="191">
        <f>'Phase 1'!B32</f>
        <v>0</v>
      </c>
      <c r="B15" s="157"/>
      <c r="C15" s="243">
        <f>$C$6*'Phase 1'!D32</f>
        <v>0</v>
      </c>
      <c r="D15" s="168"/>
      <c r="E15" s="243" t="e">
        <f>C15/'Phase 1'!$D$92</f>
        <v>#DIV/0!</v>
      </c>
      <c r="F15" s="19"/>
    </row>
    <row r="16" spans="1:7" ht="21" customHeight="1">
      <c r="A16" s="191">
        <f>'Phase 1'!B33</f>
        <v>0</v>
      </c>
      <c r="B16" s="157"/>
      <c r="C16" s="243">
        <f>$C$6*'Phase 1'!D33</f>
        <v>0</v>
      </c>
      <c r="D16" s="168"/>
      <c r="E16" s="243" t="e">
        <f>C16/'Phase 1'!$D$92</f>
        <v>#DIV/0!</v>
      </c>
      <c r="F16" s="19"/>
    </row>
    <row r="17" spans="1:6" ht="21" customHeight="1">
      <c r="A17" s="163" t="s">
        <v>12</v>
      </c>
      <c r="B17" s="163"/>
      <c r="C17" s="314" t="e">
        <f>TEXT('Phase 1'!D90,"#,##0;;@")&amp;" "&amp;TEXT(SUM(C10:C16),"#,##0;-0,000;@")</f>
        <v>#N/A</v>
      </c>
      <c r="D17" s="270"/>
      <c r="E17" s="382" t="e">
        <f>SUM(C10:C16)/'Phase 1'!$D$92</f>
        <v>#N/A</v>
      </c>
      <c r="F17" s="45"/>
    </row>
    <row r="18" spans="1:6" ht="21" customHeight="1">
      <c r="A18" s="157"/>
      <c r="B18" s="157"/>
      <c r="C18" s="157"/>
      <c r="D18" s="157"/>
      <c r="E18" s="157"/>
    </row>
    <row r="19" spans="1:6" ht="21" customHeight="1">
      <c r="A19" s="166" t="str">
        <f>'Phase 1'!B43</f>
        <v>Loyer</v>
      </c>
      <c r="B19" s="157"/>
      <c r="C19" s="243">
        <f>('Phase 1'!$D$39*'Phase 1'!D43)*12</f>
        <v>0</v>
      </c>
      <c r="D19" s="168"/>
      <c r="E19" s="243" t="e">
        <f>C19/'Phase 1'!$D$92</f>
        <v>#DIV/0!</v>
      </c>
      <c r="F19" s="19"/>
    </row>
    <row r="20" spans="1:6" ht="21" customHeight="1">
      <c r="A20" s="166">
        <f>'Phase 1'!B47</f>
        <v>0</v>
      </c>
      <c r="B20" s="157"/>
      <c r="C20" s="243">
        <f>('Phase 1'!$D$39*'Phase 1'!D47)*12</f>
        <v>0</v>
      </c>
      <c r="D20" s="168"/>
      <c r="E20" s="243" t="e">
        <f>C20/'Phase 1'!$D$92</f>
        <v>#DIV/0!</v>
      </c>
      <c r="F20" s="19"/>
    </row>
    <row r="21" spans="1:6" ht="21" customHeight="1">
      <c r="A21" s="166">
        <f>'Phase 1'!B51</f>
        <v>0</v>
      </c>
      <c r="B21" s="157"/>
      <c r="C21" s="243">
        <f>('Phase 1'!$D$39*'Phase 1'!D51)*12</f>
        <v>0</v>
      </c>
      <c r="D21" s="168"/>
      <c r="E21" s="243" t="e">
        <f>C21/'Phase 1'!$D$92</f>
        <v>#DIV/0!</v>
      </c>
      <c r="F21" s="19"/>
    </row>
    <row r="22" spans="1:6" ht="21" customHeight="1">
      <c r="A22" s="166">
        <f>'Phase 1'!B55</f>
        <v>0</v>
      </c>
      <c r="B22" s="157"/>
      <c r="C22" s="243">
        <f>('Phase 1'!$D$39*'Phase 1'!D55)*12</f>
        <v>0</v>
      </c>
      <c r="D22" s="157"/>
      <c r="E22" s="243" t="e">
        <f>C22/'Phase 1'!$D$92</f>
        <v>#DIV/0!</v>
      </c>
    </row>
    <row r="23" spans="1:6" ht="21" customHeight="1">
      <c r="A23" s="166">
        <f>'Phase 1'!B56</f>
        <v>0</v>
      </c>
      <c r="B23" s="157"/>
      <c r="C23" s="243">
        <f>('Phase 1'!$D$39*'Phase 1'!D56)*12</f>
        <v>0</v>
      </c>
      <c r="D23" s="168"/>
      <c r="E23" s="243" t="e">
        <f>C23/'Phase 1'!$D$92</f>
        <v>#DIV/0!</v>
      </c>
      <c r="F23" s="19"/>
    </row>
    <row r="24" spans="1:6" ht="21" customHeight="1">
      <c r="A24" s="166">
        <f>'Phase 1'!B57</f>
        <v>0</v>
      </c>
      <c r="B24" s="157"/>
      <c r="C24" s="243">
        <f>('Phase 1'!$D$39*'Phase 1'!D57)*12</f>
        <v>0</v>
      </c>
      <c r="D24" s="168"/>
      <c r="E24" s="243" t="e">
        <f>C24/'Phase 1'!$D$92</f>
        <v>#DIV/0!</v>
      </c>
      <c r="F24" s="19"/>
    </row>
    <row r="25" spans="1:6" ht="21" customHeight="1">
      <c r="A25" s="166">
        <f>'Phase 1'!B58</f>
        <v>0</v>
      </c>
      <c r="B25" s="157"/>
      <c r="C25" s="243">
        <f>('Phase 1'!$D$39*'Phase 1'!D58)*12</f>
        <v>0</v>
      </c>
      <c r="D25" s="168"/>
      <c r="E25" s="243" t="e">
        <f>C25/'Phase 1'!$D$92</f>
        <v>#DIV/0!</v>
      </c>
      <c r="F25" s="19"/>
    </row>
    <row r="26" spans="1:6" ht="21" customHeight="1">
      <c r="A26" s="191"/>
      <c r="B26" s="157"/>
      <c r="C26" s="243"/>
      <c r="D26" s="168"/>
      <c r="E26" s="271"/>
      <c r="F26" s="19"/>
    </row>
    <row r="27" spans="1:6" ht="21" customHeight="1">
      <c r="A27" s="191" t="s">
        <v>11</v>
      </c>
      <c r="B27" s="157"/>
      <c r="C27" s="243">
        <f>12*(('Phase 1'!C81*'Phase 1'!D81)+('Phase 1'!C82*'Phase 1'!D82)+('Phase 1'!C83*'Phase 1'!D83)+('Phase 1'!C84*'Phase 1'!D84)+('Phase 1'!C85*'Phase 1'!D85))</f>
        <v>0</v>
      </c>
      <c r="D27" s="168"/>
      <c r="E27" s="315" t="e">
        <f>C27/'Phase 1'!$D$92</f>
        <v>#DIV/0!</v>
      </c>
      <c r="F27" s="19"/>
    </row>
    <row r="28" spans="1:6" ht="21" customHeight="1">
      <c r="A28" s="163" t="s">
        <v>10</v>
      </c>
      <c r="B28" s="163"/>
      <c r="C28" s="244" t="str">
        <f>TEXT('Phase 1'!D90,"#,##0;;@")&amp;" "&amp;TEXT(SUM(C19:C27),"#,##0;-0,000;@")</f>
        <v>0 0</v>
      </c>
      <c r="D28" s="272" t="e">
        <f>SUM(C19:C27)/(C6*C7)</f>
        <v>#DIV/0!</v>
      </c>
      <c r="E28" s="382" t="e">
        <f>SUM(C19:C27)/'Phase 1'!$D$92</f>
        <v>#DIV/0!</v>
      </c>
      <c r="F28" s="128"/>
    </row>
    <row r="29" spans="1:6" ht="21" customHeight="1">
      <c r="A29" s="182"/>
      <c r="B29" s="182"/>
      <c r="C29" s="316"/>
      <c r="D29" s="317"/>
      <c r="E29" s="318"/>
      <c r="F29" s="128"/>
    </row>
    <row r="30" spans="1:6" ht="21" customHeight="1">
      <c r="A30" s="157" t="str">
        <f>'Phase 1'!B98</f>
        <v>Capex 1</v>
      </c>
      <c r="B30" s="182"/>
      <c r="C30" s="243" t="str">
        <f>IFERROR((('Phase 1'!D98)+('Phase 1'!D98*'Phase 1'!$D$104))/'Phase 1'!F98,"")</f>
        <v/>
      </c>
      <c r="D30" s="317"/>
      <c r="E30" s="243" t="str">
        <f>IFERROR(C30/'Phase 1'!$D$92,"")</f>
        <v/>
      </c>
      <c r="F30" s="128"/>
    </row>
    <row r="31" spans="1:6" ht="21" customHeight="1">
      <c r="A31" s="157" t="str">
        <f>'Phase 1'!B99</f>
        <v>Capex 2</v>
      </c>
      <c r="B31" s="182"/>
      <c r="C31" s="243" t="str">
        <f>IFERROR((('Phase 1'!D99)+('Phase 1'!D99*'Phase 1'!$D$104))/'Phase 1'!F99,"")</f>
        <v/>
      </c>
      <c r="D31" s="317"/>
      <c r="E31" s="243" t="str">
        <f>IFERROR(C31/'Phase 1'!$D$92,"")</f>
        <v/>
      </c>
      <c r="F31" s="128"/>
    </row>
    <row r="32" spans="1:6" ht="21" customHeight="1">
      <c r="A32" s="157" t="str">
        <f>'Phase 1'!B100</f>
        <v>Capex 3</v>
      </c>
      <c r="B32" s="182"/>
      <c r="C32" s="243" t="str">
        <f>IFERROR((('Phase 1'!D100)+('Phase 1'!D100*'Phase 1'!$D$104))/'Phase 1'!F100,"")</f>
        <v/>
      </c>
      <c r="D32" s="317"/>
      <c r="E32" s="243" t="str">
        <f>IFERROR(C32/'Phase 1'!$D$92,"")</f>
        <v/>
      </c>
      <c r="F32" s="128"/>
    </row>
    <row r="33" spans="1:6" ht="21" customHeight="1">
      <c r="A33" s="157" t="str">
        <f>'Phase 1'!B101</f>
        <v>Capex 4</v>
      </c>
      <c r="B33" s="182"/>
      <c r="C33" s="243" t="str">
        <f>IFERROR((('Phase 1'!D101)+('Phase 1'!D101*'Phase 1'!$D$104))/'Phase 1'!F101,"")</f>
        <v/>
      </c>
      <c r="D33" s="317"/>
      <c r="E33" s="243" t="str">
        <f>IFERROR(C33/'Phase 1'!$D$92,"")</f>
        <v/>
      </c>
      <c r="F33" s="128"/>
    </row>
    <row r="34" spans="1:6" ht="21" customHeight="1">
      <c r="A34" s="157"/>
      <c r="B34" s="182"/>
      <c r="C34" s="243"/>
      <c r="D34" s="317"/>
      <c r="E34" s="318"/>
      <c r="F34" s="128"/>
    </row>
    <row r="35" spans="1:6" ht="21" customHeight="1">
      <c r="A35" s="163" t="s">
        <v>9</v>
      </c>
      <c r="B35" s="163"/>
      <c r="C35" s="244" t="str">
        <f>TEXT('Phase 1'!D90,"#,##0;;@")&amp;" "&amp;TEXT(SUM(C30:C34),"#,##0;-0,000;@")</f>
        <v>0 0</v>
      </c>
      <c r="D35" s="272" t="e">
        <f>SUM(C30:C33)/(C6*C7)</f>
        <v>#DIV/0!</v>
      </c>
      <c r="E35" s="382" t="e">
        <f>SUM(C30:C34)/'Phase 1'!$D$92</f>
        <v>#DIV/0!</v>
      </c>
      <c r="F35" s="128"/>
    </row>
    <row r="36" spans="1:6" ht="21" customHeight="1">
      <c r="A36" s="182"/>
      <c r="B36" s="182"/>
      <c r="C36" s="316"/>
      <c r="D36" s="317"/>
      <c r="E36" s="318"/>
      <c r="F36" s="128"/>
    </row>
    <row r="37" spans="1:6" ht="21" customHeight="1">
      <c r="A37" s="157"/>
      <c r="B37" s="157"/>
      <c r="C37" s="157"/>
      <c r="D37" s="157"/>
      <c r="E37" s="157"/>
    </row>
    <row r="38" spans="1:6" ht="21" customHeight="1">
      <c r="A38" s="175" t="s">
        <v>8</v>
      </c>
      <c r="B38" s="175"/>
      <c r="C38" s="319" t="e">
        <f>TEXT('Phase 1'!D90,"#,##0;;@")&amp;" "&amp;TEXT(SUM((C6*C7)-SUM(C10:C16)),"#,##0;-0,000;@")</f>
        <v>#N/A</v>
      </c>
      <c r="D38" s="320" t="e">
        <f>((C6*C7)-SUM(C10:C16))/(C6*C7)</f>
        <v>#N/A</v>
      </c>
      <c r="E38" s="381" t="e">
        <f>((C6*C7)-SUM(C10:C16))/'Phase 1'!$D$92</f>
        <v>#N/A</v>
      </c>
      <c r="F38" s="46"/>
    </row>
    <row r="39" spans="1:6" ht="21" customHeight="1">
      <c r="A39" s="157"/>
      <c r="B39" s="157"/>
      <c r="C39" s="157"/>
      <c r="D39" s="157"/>
      <c r="E39" s="157"/>
    </row>
    <row r="40" spans="1:6" ht="21" customHeight="1" thickBot="1">
      <c r="A40" s="178" t="s">
        <v>7</v>
      </c>
      <c r="B40" s="178"/>
      <c r="C40" s="248" t="e">
        <f>TEXT('Phase 1'!D90,"#,##0;;@")&amp;" "&amp;TEXT((SUM(C6*C7)-SUM(C10:C16))-(SUM(C19:C27))-(SUM(C30:C33)),"#,##0;-0,000;@")</f>
        <v>#N/A</v>
      </c>
      <c r="D40" s="275" t="e">
        <f>((SUM(C6*C7)-SUM(C10:C16))-(SUM(C19:C27))-(SUM(C30:C33)))/(C6*C7)</f>
        <v>#N/A</v>
      </c>
      <c r="E40" s="383" t="e">
        <f>((SUM(C6*C7)-SUM(C10:C16))-(SUM(C19:C27))-(SUM(C30:C33)))/'Phase 1'!D92</f>
        <v>#N/A</v>
      </c>
      <c r="F40" s="47"/>
    </row>
    <row r="41" spans="1:6" ht="15.75" thickTop="1">
      <c r="C41" s="78"/>
    </row>
    <row r="42" spans="1:6" ht="15.75">
      <c r="A42" s="86"/>
      <c r="B42" s="16"/>
      <c r="D42" s="38"/>
      <c r="E42" s="38"/>
      <c r="F42" s="38"/>
    </row>
  </sheetData>
  <sheetProtection selectLockedCells="1"/>
  <mergeCells count="1">
    <mergeCell ref="A1:E1"/>
  </mergeCells>
  <conditionalFormatting sqref="C40">
    <cfRule type="containsText" dxfId="4" priority="1" operator="containsText" text="-">
      <formula>NOT(ISERROR(SEARCH("-",C40)))</formula>
    </cfRule>
  </conditionalFormatting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M41"/>
  <sheetViews>
    <sheetView zoomScale="80" zoomScaleNormal="80" workbookViewId="0">
      <pane ySplit="8" topLeftCell="A9" activePane="bottomLeft" state="frozen"/>
      <selection pane="bottomLeft" activeCell="J1" sqref="J1:J1048576"/>
    </sheetView>
  </sheetViews>
  <sheetFormatPr defaultColWidth="0" defaultRowHeight="19.5"/>
  <cols>
    <col min="1" max="1" width="22.25" style="157" customWidth="1"/>
    <col min="2" max="2" width="10.75" style="157" customWidth="1"/>
    <col min="3" max="3" width="15" style="157" bestFit="1" customWidth="1"/>
    <col min="4" max="4" width="17" style="157" customWidth="1"/>
    <col min="5" max="6" width="16.75" style="157" customWidth="1"/>
    <col min="7" max="7" width="16.25" style="157" customWidth="1"/>
    <col min="8" max="8" width="18.25" style="157" customWidth="1"/>
    <col min="9" max="9" width="11.25" style="157" customWidth="1"/>
    <col min="10" max="10" width="11.25" style="157" hidden="1" customWidth="1"/>
    <col min="11" max="11" width="43.75" style="157" hidden="1" customWidth="1"/>
    <col min="12" max="12" width="10.75" style="157" hidden="1" customWidth="1"/>
    <col min="13" max="13" width="21.75" style="157" hidden="1" customWidth="1"/>
    <col min="14" max="16384" width="10.75" style="157" hidden="1"/>
  </cols>
  <sheetData>
    <row r="1" spans="1:11" ht="93" customHeight="1" thickBot="1">
      <c r="A1" s="368" t="s">
        <v>145</v>
      </c>
      <c r="B1" s="368"/>
      <c r="C1" s="368"/>
      <c r="D1" s="368"/>
      <c r="E1" s="368"/>
      <c r="F1" s="368"/>
      <c r="G1" s="368"/>
      <c r="H1" s="368"/>
      <c r="I1" s="156"/>
      <c r="J1" s="156"/>
      <c r="K1" s="156"/>
    </row>
    <row r="2" spans="1:11" s="159" customFormat="1" ht="31.15" customHeight="1" thickBot="1">
      <c r="A2" s="369" t="s">
        <v>94</v>
      </c>
      <c r="B2" s="370"/>
      <c r="C2" s="158"/>
      <c r="D2" s="371" t="s">
        <v>114</v>
      </c>
      <c r="E2" s="372"/>
      <c r="F2" s="372"/>
      <c r="G2" s="372"/>
      <c r="H2" s="372"/>
    </row>
    <row r="3" spans="1:11" ht="8.1" customHeight="1"/>
    <row r="4" spans="1:11" ht="43.15" customHeight="1">
      <c r="C4" s="160" t="s">
        <v>5</v>
      </c>
      <c r="D4" s="323" t="s">
        <v>0</v>
      </c>
      <c r="E4" s="323" t="s">
        <v>37</v>
      </c>
      <c r="F4" s="323" t="s">
        <v>165</v>
      </c>
      <c r="G4" s="323" t="s">
        <v>166</v>
      </c>
      <c r="H4" s="323" t="s">
        <v>167</v>
      </c>
    </row>
    <row r="5" spans="1:11" ht="8.1" customHeight="1" thickBot="1"/>
    <row r="6" spans="1:11" ht="21" customHeight="1">
      <c r="A6" s="157" t="str">
        <f>'Phase 2'!A6</f>
        <v>Ventes annuelles (kg)</v>
      </c>
      <c r="C6" s="277">
        <f>'Phase 2'!C6</f>
        <v>0</v>
      </c>
      <c r="D6" s="261">
        <f>$C$6</f>
        <v>0</v>
      </c>
      <c r="E6" s="261">
        <f t="shared" ref="E6:H6" si="0">$C$6</f>
        <v>0</v>
      </c>
      <c r="F6" s="261">
        <f t="shared" si="0"/>
        <v>0</v>
      </c>
      <c r="G6" s="261">
        <f t="shared" si="0"/>
        <v>0</v>
      </c>
      <c r="H6" s="261">
        <f t="shared" si="0"/>
        <v>0</v>
      </c>
      <c r="I6" s="162"/>
      <c r="J6" s="162"/>
      <c r="K6" s="162"/>
    </row>
    <row r="7" spans="1:11" ht="21" customHeight="1">
      <c r="A7" s="157" t="str">
        <f>'Phase 2'!A7</f>
        <v>Prix de vente unitaire (kg)</v>
      </c>
      <c r="C7" s="278">
        <f>'Phase 2'!C7</f>
        <v>0</v>
      </c>
      <c r="D7" s="279">
        <f>C7+$C$2</f>
        <v>0</v>
      </c>
      <c r="E7" s="279">
        <f>D7+$C$2</f>
        <v>0</v>
      </c>
      <c r="F7" s="279">
        <f>E7+$C$2</f>
        <v>0</v>
      </c>
      <c r="G7" s="279">
        <f>F7+$C$2</f>
        <v>0</v>
      </c>
      <c r="H7" s="279">
        <f>G7+$C$2</f>
        <v>0</v>
      </c>
      <c r="I7" s="162"/>
      <c r="J7" s="162"/>
      <c r="K7" s="162"/>
    </row>
    <row r="8" spans="1:11" ht="21" customHeight="1">
      <c r="A8" s="163" t="s">
        <v>13</v>
      </c>
      <c r="B8" s="163"/>
      <c r="C8" s="263" t="str">
        <f>TEXT('Phase 1'!D90,"#,##0;;@")&amp;" "&amp;TEXT(C6*C7,"#,##0;-0,000;@")</f>
        <v>0 0</v>
      </c>
      <c r="D8" s="280" t="str">
        <f>TEXT('Phase 1'!$D$90,"#,##0;;@")&amp;" "&amp;TEXT(D6*D7,"#,##0;-0,000;@")</f>
        <v>0 0</v>
      </c>
      <c r="E8" s="280" t="str">
        <f>TEXT('Phase 1'!$D$90,"#,##0;;@")&amp;" "&amp;TEXT(E6*E7,"#,##0;-0,000;@")</f>
        <v>0 0</v>
      </c>
      <c r="F8" s="280" t="str">
        <f>TEXT('Phase 1'!$D$90,"#,##0;;@")&amp;" "&amp;TEXT(F6*F7,"#,##0;-0,000;@")</f>
        <v>0 0</v>
      </c>
      <c r="G8" s="280" t="str">
        <f>TEXT('Phase 1'!$D$90,"#,##0;;@")&amp;" "&amp;TEXT(G6*G7,"#,##0;-0,000;@")</f>
        <v>0 0</v>
      </c>
      <c r="H8" s="280" t="str">
        <f>TEXT('Phase 1'!$D$90,"#,##0;;@")&amp;" "&amp;TEXT(H6*H7,"#,##0;-0,000;@")</f>
        <v>0 0</v>
      </c>
      <c r="I8" s="164"/>
      <c r="J8" s="164"/>
      <c r="K8" s="164"/>
    </row>
    <row r="9" spans="1:11" ht="21" customHeight="1">
      <c r="C9" s="256"/>
    </row>
    <row r="10" spans="1:11" ht="21" customHeight="1">
      <c r="A10" s="166" t="str">
        <f>'Phase 2'!A10</f>
        <v>Coût du produit de base (kg)</v>
      </c>
      <c r="C10" s="251" t="e">
        <f>'Phase 2'!C10</f>
        <v>#N/A</v>
      </c>
      <c r="D10" s="242" t="e">
        <f>C10</f>
        <v>#N/A</v>
      </c>
      <c r="E10" s="242" t="e">
        <f t="shared" ref="E10:H10" si="1">D10</f>
        <v>#N/A</v>
      </c>
      <c r="F10" s="242" t="e">
        <f t="shared" si="1"/>
        <v>#N/A</v>
      </c>
      <c r="G10" s="242" t="e">
        <f t="shared" si="1"/>
        <v>#N/A</v>
      </c>
      <c r="H10" s="242" t="e">
        <f t="shared" si="1"/>
        <v>#N/A</v>
      </c>
      <c r="I10" s="168"/>
      <c r="J10" s="168"/>
      <c r="K10" s="168"/>
    </row>
    <row r="11" spans="1:11" ht="21" customHeight="1">
      <c r="A11" s="166">
        <f>'Phase 2'!A11</f>
        <v>0</v>
      </c>
      <c r="C11" s="251">
        <f>'Phase 2'!C11</f>
        <v>0</v>
      </c>
      <c r="D11" s="242">
        <f t="shared" ref="D11:H16" si="2">C11</f>
        <v>0</v>
      </c>
      <c r="E11" s="242">
        <f t="shared" si="2"/>
        <v>0</v>
      </c>
      <c r="F11" s="242">
        <f t="shared" si="2"/>
        <v>0</v>
      </c>
      <c r="G11" s="242">
        <f t="shared" si="2"/>
        <v>0</v>
      </c>
      <c r="H11" s="242">
        <f t="shared" si="2"/>
        <v>0</v>
      </c>
      <c r="I11" s="168"/>
      <c r="J11" s="168"/>
      <c r="K11" s="168"/>
    </row>
    <row r="12" spans="1:11" ht="21" customHeight="1">
      <c r="A12" s="166">
        <f>'Phase 2'!A12</f>
        <v>0</v>
      </c>
      <c r="C12" s="251">
        <f>'Phase 2'!C12</f>
        <v>0</v>
      </c>
      <c r="D12" s="242">
        <f t="shared" si="2"/>
        <v>0</v>
      </c>
      <c r="E12" s="242">
        <f t="shared" si="2"/>
        <v>0</v>
      </c>
      <c r="F12" s="242">
        <f t="shared" si="2"/>
        <v>0</v>
      </c>
      <c r="G12" s="242">
        <f t="shared" si="2"/>
        <v>0</v>
      </c>
      <c r="H12" s="242">
        <f t="shared" si="2"/>
        <v>0</v>
      </c>
      <c r="I12" s="168"/>
      <c r="J12" s="168"/>
      <c r="K12" s="168"/>
    </row>
    <row r="13" spans="1:11" ht="21" customHeight="1">
      <c r="A13" s="166">
        <f>'Phase 2'!A13</f>
        <v>0</v>
      </c>
      <c r="C13" s="251">
        <f>'Phase 2'!C13</f>
        <v>0</v>
      </c>
      <c r="D13" s="242">
        <f t="shared" si="2"/>
        <v>0</v>
      </c>
      <c r="E13" s="242">
        <f t="shared" si="2"/>
        <v>0</v>
      </c>
      <c r="F13" s="242">
        <f t="shared" si="2"/>
        <v>0</v>
      </c>
      <c r="G13" s="242">
        <f t="shared" si="2"/>
        <v>0</v>
      </c>
      <c r="H13" s="242">
        <f t="shared" si="2"/>
        <v>0</v>
      </c>
      <c r="I13" s="168"/>
      <c r="J13" s="168"/>
      <c r="K13" s="168"/>
    </row>
    <row r="14" spans="1:11" ht="21" customHeight="1">
      <c r="A14" s="166">
        <f>'Phase 2'!A14</f>
        <v>0</v>
      </c>
      <c r="C14" s="251">
        <f>'Phase 2'!C14</f>
        <v>0</v>
      </c>
      <c r="D14" s="242">
        <f t="shared" si="2"/>
        <v>0</v>
      </c>
      <c r="E14" s="242">
        <f t="shared" si="2"/>
        <v>0</v>
      </c>
      <c r="F14" s="242">
        <f t="shared" si="2"/>
        <v>0</v>
      </c>
      <c r="G14" s="242">
        <f t="shared" si="2"/>
        <v>0</v>
      </c>
      <c r="H14" s="242">
        <f t="shared" si="2"/>
        <v>0</v>
      </c>
      <c r="I14" s="168"/>
      <c r="J14" s="168"/>
      <c r="K14" s="168"/>
    </row>
    <row r="15" spans="1:11" ht="21" customHeight="1">
      <c r="A15" s="166">
        <f>'Phase 2'!A15</f>
        <v>0</v>
      </c>
      <c r="C15" s="251">
        <f>'Phase 2'!C15</f>
        <v>0</v>
      </c>
      <c r="D15" s="242">
        <f t="shared" si="2"/>
        <v>0</v>
      </c>
      <c r="E15" s="242">
        <f t="shared" si="2"/>
        <v>0</v>
      </c>
      <c r="F15" s="242">
        <f t="shared" si="2"/>
        <v>0</v>
      </c>
      <c r="G15" s="242">
        <f t="shared" si="2"/>
        <v>0</v>
      </c>
      <c r="H15" s="242">
        <f t="shared" si="2"/>
        <v>0</v>
      </c>
      <c r="I15" s="168"/>
      <c r="J15" s="168"/>
      <c r="K15" s="168"/>
    </row>
    <row r="16" spans="1:11" ht="21" customHeight="1">
      <c r="A16" s="166">
        <f>'Phase 2'!A16</f>
        <v>0</v>
      </c>
      <c r="C16" s="251">
        <f>'Phase 2'!C16</f>
        <v>0</v>
      </c>
      <c r="D16" s="242">
        <f t="shared" si="2"/>
        <v>0</v>
      </c>
      <c r="E16" s="242">
        <f t="shared" si="2"/>
        <v>0</v>
      </c>
      <c r="F16" s="242">
        <f t="shared" si="2"/>
        <v>0</v>
      </c>
      <c r="G16" s="242">
        <f t="shared" si="2"/>
        <v>0</v>
      </c>
      <c r="H16" s="242">
        <f t="shared" si="2"/>
        <v>0</v>
      </c>
      <c r="I16" s="168"/>
      <c r="J16" s="168"/>
      <c r="K16" s="168"/>
    </row>
    <row r="17" spans="1:11" ht="21" customHeight="1">
      <c r="A17" s="163" t="str">
        <f>'Phase 2'!A17</f>
        <v>Coût des marchandises vendues (CMV)</v>
      </c>
      <c r="B17" s="163"/>
      <c r="C17" s="252" t="e">
        <f>TEXT('Phase 1'!D90,"#,##0;;@")&amp;" "&amp;TEXT(SUM(C10:C16),"#,##0;-0,000;@")</f>
        <v>#N/A</v>
      </c>
      <c r="D17" s="262" t="e">
        <f>TEXT('Phase 1'!$D$90,"#,##0;;@")&amp;" "&amp;TEXT(SUM(D10:D16),"#,##0;-0,000;@")</f>
        <v>#N/A</v>
      </c>
      <c r="E17" s="262" t="e">
        <f>TEXT('Phase 1'!$D$90,"#,##0;;@")&amp;" "&amp;TEXT(SUM(E10:E16),"#,##0;-0,000;@")</f>
        <v>#N/A</v>
      </c>
      <c r="F17" s="262" t="e">
        <f>TEXT('Phase 1'!$D$90,"#,##0;;@")&amp;" "&amp;TEXT(SUM(F10:F16),"#,##0;-0,000;@")</f>
        <v>#N/A</v>
      </c>
      <c r="G17" s="262" t="e">
        <f>TEXT('Phase 1'!$D$90,"#,##0;;@")&amp;" "&amp;TEXT(SUM(G10:G16),"#,##0;-0,000;@")</f>
        <v>#N/A</v>
      </c>
      <c r="H17" s="262" t="e">
        <f>TEXT('Phase 1'!$D$90,"#,##0;;@")&amp;" "&amp;TEXT(SUM(H10:H16),"#,##0;-0,000;@")</f>
        <v>#N/A</v>
      </c>
      <c r="I17" s="164"/>
      <c r="J17" s="164"/>
      <c r="K17" s="164"/>
    </row>
    <row r="18" spans="1:11" ht="21" customHeight="1">
      <c r="C18" s="256"/>
    </row>
    <row r="19" spans="1:11" ht="21" customHeight="1">
      <c r="A19" s="166" t="str">
        <f>'Phase 2'!A19</f>
        <v>Loyer</v>
      </c>
      <c r="C19" s="251">
        <f>'Phase 2'!C19</f>
        <v>0</v>
      </c>
      <c r="D19" s="243">
        <f>C19</f>
        <v>0</v>
      </c>
      <c r="E19" s="243">
        <f t="shared" ref="E19:H19" si="3">D19</f>
        <v>0</v>
      </c>
      <c r="F19" s="243">
        <f t="shared" si="3"/>
        <v>0</v>
      </c>
      <c r="G19" s="243">
        <f t="shared" si="3"/>
        <v>0</v>
      </c>
      <c r="H19" s="243">
        <f t="shared" si="3"/>
        <v>0</v>
      </c>
      <c r="I19" s="168"/>
      <c r="J19" s="168"/>
      <c r="K19" s="168"/>
    </row>
    <row r="20" spans="1:11" ht="21" customHeight="1">
      <c r="A20" s="166">
        <f>'Phase 2'!A20</f>
        <v>0</v>
      </c>
      <c r="C20" s="251">
        <f>'Phase 2'!C20</f>
        <v>0</v>
      </c>
      <c r="D20" s="243">
        <f t="shared" ref="D20:H27" si="4">C20</f>
        <v>0</v>
      </c>
      <c r="E20" s="243">
        <f t="shared" si="4"/>
        <v>0</v>
      </c>
      <c r="F20" s="243">
        <f t="shared" si="4"/>
        <v>0</v>
      </c>
      <c r="G20" s="243">
        <f t="shared" si="4"/>
        <v>0</v>
      </c>
      <c r="H20" s="243">
        <f t="shared" si="4"/>
        <v>0</v>
      </c>
      <c r="I20" s="168"/>
      <c r="J20" s="168"/>
      <c r="K20" s="168"/>
    </row>
    <row r="21" spans="1:11" ht="21" customHeight="1">
      <c r="A21" s="166">
        <f>'Phase 2'!A21</f>
        <v>0</v>
      </c>
      <c r="C21" s="251">
        <f>'Phase 2'!C21</f>
        <v>0</v>
      </c>
      <c r="D21" s="243">
        <f t="shared" si="4"/>
        <v>0</v>
      </c>
      <c r="E21" s="243">
        <f t="shared" si="4"/>
        <v>0</v>
      </c>
      <c r="F21" s="243">
        <f t="shared" si="4"/>
        <v>0</v>
      </c>
      <c r="G21" s="243">
        <f t="shared" si="4"/>
        <v>0</v>
      </c>
      <c r="H21" s="243">
        <f t="shared" si="4"/>
        <v>0</v>
      </c>
      <c r="I21" s="168"/>
      <c r="J21" s="168"/>
      <c r="K21" s="168"/>
    </row>
    <row r="22" spans="1:11" ht="21" customHeight="1">
      <c r="A22" s="166">
        <f>'Phase 2'!A22</f>
        <v>0</v>
      </c>
      <c r="C22" s="251">
        <f>'Phase 2'!C22</f>
        <v>0</v>
      </c>
      <c r="D22" s="243">
        <f t="shared" si="4"/>
        <v>0</v>
      </c>
      <c r="E22" s="243">
        <f t="shared" si="4"/>
        <v>0</v>
      </c>
      <c r="F22" s="243">
        <f t="shared" si="4"/>
        <v>0</v>
      </c>
      <c r="G22" s="243">
        <f t="shared" si="4"/>
        <v>0</v>
      </c>
      <c r="H22" s="243">
        <f t="shared" si="4"/>
        <v>0</v>
      </c>
    </row>
    <row r="23" spans="1:11" ht="21" customHeight="1">
      <c r="A23" s="166">
        <f>'Phase 2'!A23</f>
        <v>0</v>
      </c>
      <c r="C23" s="251">
        <f>'Phase 2'!C23</f>
        <v>0</v>
      </c>
      <c r="D23" s="243">
        <f t="shared" si="4"/>
        <v>0</v>
      </c>
      <c r="E23" s="243">
        <f t="shared" si="4"/>
        <v>0</v>
      </c>
      <c r="F23" s="243">
        <f t="shared" si="4"/>
        <v>0</v>
      </c>
      <c r="G23" s="243">
        <f t="shared" si="4"/>
        <v>0</v>
      </c>
      <c r="H23" s="243">
        <f t="shared" si="4"/>
        <v>0</v>
      </c>
      <c r="I23" s="168"/>
      <c r="J23" s="168"/>
      <c r="K23" s="168"/>
    </row>
    <row r="24" spans="1:11" ht="21" customHeight="1">
      <c r="A24" s="166">
        <f>'Phase 2'!A24</f>
        <v>0</v>
      </c>
      <c r="C24" s="251">
        <f>'Phase 2'!C24</f>
        <v>0</v>
      </c>
      <c r="D24" s="243">
        <f t="shared" si="4"/>
        <v>0</v>
      </c>
      <c r="E24" s="243">
        <f t="shared" si="4"/>
        <v>0</v>
      </c>
      <c r="F24" s="243">
        <f t="shared" si="4"/>
        <v>0</v>
      </c>
      <c r="G24" s="243">
        <f t="shared" si="4"/>
        <v>0</v>
      </c>
      <c r="H24" s="243">
        <f t="shared" si="4"/>
        <v>0</v>
      </c>
      <c r="I24" s="168"/>
      <c r="J24" s="168"/>
      <c r="K24" s="168"/>
    </row>
    <row r="25" spans="1:11" ht="21" customHeight="1">
      <c r="A25" s="166">
        <f>'Phase 2'!A25</f>
        <v>0</v>
      </c>
      <c r="C25" s="251">
        <f>'Phase 2'!C25</f>
        <v>0</v>
      </c>
      <c r="D25" s="243">
        <f t="shared" si="4"/>
        <v>0</v>
      </c>
      <c r="E25" s="243">
        <f t="shared" si="4"/>
        <v>0</v>
      </c>
      <c r="F25" s="243">
        <f t="shared" si="4"/>
        <v>0</v>
      </c>
      <c r="G25" s="243">
        <f t="shared" si="4"/>
        <v>0</v>
      </c>
      <c r="H25" s="243">
        <f t="shared" si="4"/>
        <v>0</v>
      </c>
      <c r="I25" s="168"/>
      <c r="J25" s="168"/>
      <c r="K25" s="168"/>
    </row>
    <row r="26" spans="1:11" ht="21" customHeight="1">
      <c r="A26" s="166"/>
      <c r="C26" s="251">
        <f>'Phase 2'!C26</f>
        <v>0</v>
      </c>
      <c r="D26" s="243">
        <f t="shared" si="4"/>
        <v>0</v>
      </c>
      <c r="E26" s="243">
        <f t="shared" si="4"/>
        <v>0</v>
      </c>
      <c r="F26" s="243">
        <f t="shared" si="4"/>
        <v>0</v>
      </c>
      <c r="G26" s="243">
        <f t="shared" si="4"/>
        <v>0</v>
      </c>
      <c r="H26" s="243">
        <f t="shared" si="4"/>
        <v>0</v>
      </c>
      <c r="I26" s="168"/>
      <c r="J26" s="168"/>
      <c r="K26" s="168"/>
    </row>
    <row r="27" spans="1:11" ht="21" customHeight="1">
      <c r="A27" s="166" t="str">
        <f>'Phase 2'!A27</f>
        <v>Salaire</v>
      </c>
      <c r="C27" s="251">
        <f>'Phase 2'!C27</f>
        <v>0</v>
      </c>
      <c r="D27" s="243">
        <f t="shared" si="4"/>
        <v>0</v>
      </c>
      <c r="E27" s="243">
        <f t="shared" si="4"/>
        <v>0</v>
      </c>
      <c r="F27" s="243">
        <f t="shared" si="4"/>
        <v>0</v>
      </c>
      <c r="G27" s="243">
        <f t="shared" si="4"/>
        <v>0</v>
      </c>
      <c r="H27" s="243">
        <f t="shared" si="4"/>
        <v>0</v>
      </c>
      <c r="I27" s="168"/>
      <c r="J27" s="168"/>
      <c r="K27" s="168"/>
    </row>
    <row r="28" spans="1:11" ht="21" customHeight="1">
      <c r="A28" s="163" t="str">
        <f>'Phase 2'!A28</f>
        <v>Dépenses de fonctionnement</v>
      </c>
      <c r="B28" s="163"/>
      <c r="C28" s="252" t="str">
        <f>TEXT('Phase 1'!D90,"#,##0;;@")&amp;" "&amp;TEXT(SUM(C19:C27),"#,##0;-0,000;@")</f>
        <v>0 0</v>
      </c>
      <c r="D28" s="244" t="str">
        <f>TEXT('Phase 1'!$D$90,"#,##0;;@")&amp;" "&amp;TEXT(SUM(D19:D27),"#,##0;-0,000;@")</f>
        <v>0 0</v>
      </c>
      <c r="E28" s="244" t="str">
        <f>TEXT('Phase 1'!$D$90,"#,##0;;@")&amp;" "&amp;TEXT(SUM(E19:E27),"#,##0;-0,000;@")</f>
        <v>0 0</v>
      </c>
      <c r="F28" s="244" t="str">
        <f>TEXT('Phase 1'!$D$90,"#,##0;;@")&amp;" "&amp;TEXT(SUM(F19:F27),"#,##0;-0,000;@")</f>
        <v>0 0</v>
      </c>
      <c r="G28" s="244" t="str">
        <f>TEXT('Phase 1'!$D$90,"#,##0;;@")&amp;" "&amp;TEXT(SUM(G19:G27),"#,##0;-0,000;@")</f>
        <v>0 0</v>
      </c>
      <c r="H28" s="244" t="str">
        <f>TEXT('Phase 1'!$D$90,"#,##0;;@")&amp;" "&amp;TEXT(SUM(H19:H27),"#,##0;-0,000;@")</f>
        <v>0 0</v>
      </c>
      <c r="I28" s="164"/>
      <c r="J28" s="164"/>
      <c r="K28" s="164"/>
    </row>
    <row r="29" spans="1:11" ht="21" customHeight="1">
      <c r="C29" s="254"/>
      <c r="D29" s="246"/>
      <c r="E29" s="246"/>
      <c r="F29" s="246"/>
      <c r="G29" s="246"/>
      <c r="H29" s="246"/>
    </row>
    <row r="30" spans="1:11" ht="21" customHeight="1">
      <c r="A30" s="159" t="str">
        <f>'Phase 1'!B98</f>
        <v>Capex 1</v>
      </c>
      <c r="C30" s="251" t="str">
        <f>'Phase 2'!C30</f>
        <v/>
      </c>
      <c r="D30" s="243" t="str">
        <f>C30</f>
        <v/>
      </c>
      <c r="E30" s="243" t="str">
        <f t="shared" ref="E30:H30" si="5">D30</f>
        <v/>
      </c>
      <c r="F30" s="243" t="str">
        <f t="shared" si="5"/>
        <v/>
      </c>
      <c r="G30" s="243" t="str">
        <f t="shared" si="5"/>
        <v/>
      </c>
      <c r="H30" s="243" t="str">
        <f t="shared" si="5"/>
        <v/>
      </c>
    </row>
    <row r="31" spans="1:11" ht="21" customHeight="1">
      <c r="A31" s="159" t="str">
        <f>'Phase 1'!B99</f>
        <v>Capex 2</v>
      </c>
      <c r="C31" s="251" t="str">
        <f>'Phase 2'!C31</f>
        <v/>
      </c>
      <c r="D31" s="243" t="str">
        <f t="shared" ref="D31:H33" si="6">C31</f>
        <v/>
      </c>
      <c r="E31" s="243" t="str">
        <f t="shared" si="6"/>
        <v/>
      </c>
      <c r="F31" s="243" t="str">
        <f t="shared" si="6"/>
        <v/>
      </c>
      <c r="G31" s="243" t="str">
        <f t="shared" si="6"/>
        <v/>
      </c>
      <c r="H31" s="243" t="str">
        <f t="shared" si="6"/>
        <v/>
      </c>
    </row>
    <row r="32" spans="1:11" ht="21" customHeight="1">
      <c r="A32" s="159" t="str">
        <f>'Phase 1'!B100</f>
        <v>Capex 3</v>
      </c>
      <c r="C32" s="251" t="str">
        <f>'Phase 2'!C32</f>
        <v/>
      </c>
      <c r="D32" s="243" t="str">
        <f t="shared" si="6"/>
        <v/>
      </c>
      <c r="E32" s="243" t="str">
        <f t="shared" si="6"/>
        <v/>
      </c>
      <c r="F32" s="243" t="str">
        <f t="shared" si="6"/>
        <v/>
      </c>
      <c r="G32" s="243" t="str">
        <f t="shared" si="6"/>
        <v/>
      </c>
      <c r="H32" s="243" t="str">
        <f t="shared" si="6"/>
        <v/>
      </c>
    </row>
    <row r="33" spans="1:11" ht="21" customHeight="1">
      <c r="A33" s="159" t="str">
        <f>'Phase 1'!B101</f>
        <v>Capex 4</v>
      </c>
      <c r="C33" s="251" t="str">
        <f>'Phase 2'!C33</f>
        <v/>
      </c>
      <c r="D33" s="243" t="str">
        <f t="shared" si="6"/>
        <v/>
      </c>
      <c r="E33" s="243" t="str">
        <f t="shared" si="6"/>
        <v/>
      </c>
      <c r="F33" s="243" t="str">
        <f t="shared" si="6"/>
        <v/>
      </c>
      <c r="G33" s="243" t="str">
        <f t="shared" si="6"/>
        <v/>
      </c>
      <c r="H33" s="243" t="str">
        <f t="shared" si="6"/>
        <v/>
      </c>
    </row>
    <row r="34" spans="1:11" ht="21" customHeight="1">
      <c r="C34" s="251"/>
      <c r="D34" s="243"/>
      <c r="E34" s="243"/>
      <c r="F34" s="243"/>
      <c r="G34" s="243"/>
      <c r="H34" s="243"/>
    </row>
    <row r="35" spans="1:11" ht="21" customHeight="1">
      <c r="A35" s="163" t="s">
        <v>9</v>
      </c>
      <c r="B35" s="173"/>
      <c r="C35" s="253" t="str">
        <f>TEXT('Phase 1'!D90,"#,##0;;@")&amp;" "&amp;TEXT(SUM(C30:C34),"#,##0;-0,000;@")</f>
        <v>0 0</v>
      </c>
      <c r="D35" s="245" t="str">
        <f>TEXT('Phase 1'!$D$90,"#,##0;;@")&amp;" "&amp;TEXT(SUM(D30:D34),"#,##0;-0,000;@")</f>
        <v>0 0</v>
      </c>
      <c r="E35" s="245" t="str">
        <f>TEXT('Phase 1'!$D$90,"#,##0;;@")&amp;" "&amp;TEXT(SUM(E30:E34),"#,##0;-0,000;@")</f>
        <v>0 0</v>
      </c>
      <c r="F35" s="245" t="str">
        <f>TEXT('Phase 1'!$D$90,"#,##0;;@")&amp;" "&amp;TEXT(SUM(F30:F34),"#,##0;-0,000;@")</f>
        <v>0 0</v>
      </c>
      <c r="G35" s="245" t="str">
        <f>TEXT('Phase 1'!$D$90,"#,##0;;@")&amp;" "&amp;TEXT(SUM(G30:G34),"#,##0;-0,000;@")</f>
        <v>0 0</v>
      </c>
      <c r="H35" s="245" t="str">
        <f>TEXT('Phase 1'!$D$90,"#,##0;;@")&amp;" "&amp;TEXT(SUM(H30:H34),"#,##0;-0,000;@")</f>
        <v>0 0</v>
      </c>
    </row>
    <row r="36" spans="1:11" ht="21" customHeight="1">
      <c r="C36" s="254"/>
      <c r="D36" s="246"/>
      <c r="E36" s="246"/>
      <c r="F36" s="246"/>
      <c r="G36" s="246"/>
      <c r="H36" s="246"/>
    </row>
    <row r="37" spans="1:11" ht="21" customHeight="1">
      <c r="A37" s="174" t="str">
        <f>'Phase 2'!A38</f>
        <v>Marge bénéficiaire brute</v>
      </c>
      <c r="B37" s="175"/>
      <c r="C37" s="255" t="e">
        <f>TEXT('Phase 1'!D90,"#,##0;;@")&amp;" "&amp;TEXT(SUM((C6*C7)-SUM(C10:C16)),"#,##0;-0,000;@")</f>
        <v>#N/A</v>
      </c>
      <c r="D37" s="247" t="e">
        <f>TEXT('Phase 1'!$D$90,"#,##0;;@")&amp;" "&amp;TEXT(SUM((D6*D7)-SUM(D10:D16)),"#,##0;-0,000;@")</f>
        <v>#N/A</v>
      </c>
      <c r="E37" s="247" t="e">
        <f>TEXT('Phase 1'!$D$90,"#,##0;;@")&amp;" "&amp;TEXT(SUM((E6*E7)-SUM(E10:E16)),"#,##0;-0,000;@")</f>
        <v>#N/A</v>
      </c>
      <c r="F37" s="247" t="e">
        <f>TEXT('Phase 1'!$D$90,"#,##0;;@")&amp;" "&amp;TEXT(SUM((F6*F7)-SUM(F10:F16)),"#,##0;-0,000;@")</f>
        <v>#N/A</v>
      </c>
      <c r="G37" s="247" t="e">
        <f>TEXT('Phase 1'!$D$90,"#,##0;;@")&amp;" "&amp;TEXT(SUM((G6*G7)-SUM(G10:G16)),"#,##0;-0,000;@")</f>
        <v>#N/A</v>
      </c>
      <c r="H37" s="247" t="e">
        <f>TEXT('Phase 1'!$D$90,"#,##0;;@")&amp;" "&amp;TEXT(SUM((H6*H7)-SUM(H10:H16)),"#,##0;-0,000;@")</f>
        <v>#N/A</v>
      </c>
      <c r="I37" s="177"/>
      <c r="J37" s="177"/>
      <c r="K37" s="177"/>
    </row>
    <row r="38" spans="1:11" ht="21" customHeight="1">
      <c r="C38" s="256"/>
    </row>
    <row r="39" spans="1:11" ht="21" customHeight="1" thickBot="1">
      <c r="A39" s="178" t="str">
        <f>'Phase 2'!A40</f>
        <v>Marge bénéficiaire nette</v>
      </c>
      <c r="B39" s="178"/>
      <c r="C39" s="257" t="e">
        <f>TEXT('Phase 1'!D90,"#,##0;;@")&amp;" "&amp;TEXT((SUM(C6*C7)-SUM(C10:C16))-(SUM(C19:C27))-(SUM(C30:C33)),"#,##0;-0.000;@")</f>
        <v>#N/A</v>
      </c>
      <c r="D39" s="248" t="e">
        <f>TEXT('Phase 1'!$D$90,"#,##0;;@")&amp;" "&amp;TEXT((SUM(D6*D7)-SUM(D10:D16))-(SUM(D19:D27))-(SUM(D30:D33)),"#,##0;-0,000;@")</f>
        <v>#N/A</v>
      </c>
      <c r="E39" s="248" t="e">
        <f>TEXT('Phase 1'!$D$90,"#,##0;;@")&amp;" "&amp;TEXT((SUM(E6*E7)-SUM(E10:E16))-(SUM(E19:E27))-(SUM(E30:E33)),"#,##0;-0,000;@")</f>
        <v>#N/A</v>
      </c>
      <c r="F39" s="248" t="e">
        <f>TEXT('Phase 1'!$D$90,"#,##0;;@")&amp;" "&amp;TEXT((SUM(F6*F7)-SUM(F10:F16))-(SUM(F19:F27))-(SUM(F30:F33)),"#,##0;-0,000;@")</f>
        <v>#N/A</v>
      </c>
      <c r="G39" s="248" t="e">
        <f>TEXT('Phase 1'!$D$90,"#,##0;;@")&amp;" "&amp;TEXT((SUM(G6*G7)-SUM(G10:G16))-(SUM(G19:G27))-(SUM(G30:G33)),"#,##0;-0,000;@")</f>
        <v>#N/A</v>
      </c>
      <c r="H39" s="248" t="e">
        <f>TEXT('Phase 1'!$D$90,"#,##0;;@")&amp;" "&amp;TEXT((SUM(H6*H7)-SUM(H10:H16))-(SUM(H19:H27))-(SUM(H30:H33)),"#,##0;-0,000;@")</f>
        <v>#N/A</v>
      </c>
      <c r="I39" s="180"/>
      <c r="J39" s="180"/>
      <c r="K39" s="180"/>
    </row>
    <row r="40" spans="1:11" ht="21" customHeight="1" thickTop="1">
      <c r="C40" s="256"/>
    </row>
    <row r="41" spans="1:11" ht="21" customHeight="1" thickBot="1">
      <c r="A41" s="249" t="s">
        <v>6</v>
      </c>
      <c r="B41" s="182"/>
      <c r="C41" s="258" t="e">
        <f>((SUM(C6*C7)-SUM(C10:C16))-(SUM(C19:C27))-(SUM(C30:C33)))/(C6*C7)</f>
        <v>#N/A</v>
      </c>
      <c r="D41" s="250" t="e">
        <f>((D6*D7)-(SUM(D10:D16))-(SUM(D19:D27))-(SUM(D30:D33)))/(D6*D7)</f>
        <v>#N/A</v>
      </c>
      <c r="E41" s="250" t="e">
        <f t="shared" ref="E41:H41" si="7">((E6*E7)-(SUM(E10:E16))-(SUM(E19:E27))-(SUM(E30:E33)))/(E6*E7)</f>
        <v>#N/A</v>
      </c>
      <c r="F41" s="250" t="e">
        <f t="shared" si="7"/>
        <v>#N/A</v>
      </c>
      <c r="G41" s="250" t="e">
        <f t="shared" si="7"/>
        <v>#N/A</v>
      </c>
      <c r="H41" s="250" t="e">
        <f t="shared" si="7"/>
        <v>#N/A</v>
      </c>
      <c r="I41" s="183"/>
      <c r="J41" s="183"/>
      <c r="K41" s="183"/>
    </row>
  </sheetData>
  <sheetProtection selectLockedCells="1"/>
  <mergeCells count="3">
    <mergeCell ref="A2:B2"/>
    <mergeCell ref="D2:H2"/>
    <mergeCell ref="A1:H1"/>
  </mergeCells>
  <conditionalFormatting sqref="C39:H39">
    <cfRule type="containsText" dxfId="3" priority="1" operator="containsText" text="-">
      <formula>NOT(ISERROR(SEARCH("-",C39)))</formula>
    </cfRule>
  </conditionalFormatting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M41"/>
  <sheetViews>
    <sheetView zoomScale="80" zoomScaleNormal="80" workbookViewId="0">
      <pane ySplit="8" topLeftCell="A9" activePane="bottomLeft" state="frozen"/>
      <selection pane="bottomLeft" activeCell="J1" sqref="J1:J1048576"/>
    </sheetView>
  </sheetViews>
  <sheetFormatPr defaultColWidth="0" defaultRowHeight="15"/>
  <cols>
    <col min="1" max="1" width="25.75" style="14" customWidth="1"/>
    <col min="2" max="2" width="10.75" style="14" customWidth="1"/>
    <col min="3" max="3" width="15" style="14" bestFit="1" customWidth="1"/>
    <col min="4" max="4" width="16.75" style="14" customWidth="1"/>
    <col min="5" max="5" width="17" style="14" customWidth="1"/>
    <col min="6" max="8" width="17.75" style="14" customWidth="1"/>
    <col min="9" max="9" width="11.25" style="14" customWidth="1"/>
    <col min="10" max="10" width="11.25" style="14" hidden="1" customWidth="1"/>
    <col min="11" max="11" width="43.75" style="14" hidden="1" customWidth="1"/>
    <col min="12" max="12" width="10.75" style="14" hidden="1" customWidth="1"/>
    <col min="13" max="13" width="21.75" style="14" hidden="1" customWidth="1"/>
    <col min="14" max="16384" width="10.75" style="14" hidden="1"/>
  </cols>
  <sheetData>
    <row r="1" spans="1:11" ht="102.6" customHeight="1" thickBot="1">
      <c r="A1" s="373" t="s">
        <v>147</v>
      </c>
      <c r="B1" s="373"/>
      <c r="C1" s="373"/>
      <c r="D1" s="373"/>
      <c r="E1" s="373"/>
      <c r="F1" s="373"/>
      <c r="G1" s="373"/>
      <c r="H1" s="373"/>
      <c r="I1" s="48"/>
      <c r="J1" s="48"/>
      <c r="K1" s="48"/>
    </row>
    <row r="2" spans="1:11" s="129" customFormat="1" ht="40.15" customHeight="1" thickBot="1">
      <c r="A2" s="369" t="s">
        <v>93</v>
      </c>
      <c r="B2" s="370"/>
      <c r="C2" s="281"/>
      <c r="D2" s="371" t="s">
        <v>115</v>
      </c>
      <c r="E2" s="372"/>
      <c r="F2" s="372"/>
      <c r="G2" s="372"/>
      <c r="H2" s="372"/>
    </row>
    <row r="3" spans="1:11" ht="8.1" customHeight="1">
      <c r="A3" s="157"/>
      <c r="B3" s="157"/>
      <c r="C3" s="157"/>
      <c r="D3" s="157"/>
      <c r="E3" s="157"/>
      <c r="F3" s="157"/>
      <c r="G3" s="157"/>
      <c r="H3" s="157"/>
    </row>
    <row r="4" spans="1:11" ht="42" customHeight="1">
      <c r="A4" s="157"/>
      <c r="B4" s="157"/>
      <c r="C4" s="282" t="s">
        <v>5</v>
      </c>
      <c r="D4" s="323" t="s">
        <v>0</v>
      </c>
      <c r="E4" s="323" t="s">
        <v>37</v>
      </c>
      <c r="F4" s="323" t="s">
        <v>165</v>
      </c>
      <c r="G4" s="323" t="s">
        <v>166</v>
      </c>
      <c r="H4" s="323" t="s">
        <v>167</v>
      </c>
    </row>
    <row r="5" spans="1:11" ht="8.1" customHeight="1" thickBot="1">
      <c r="A5" s="157"/>
      <c r="B5" s="157"/>
      <c r="C5" s="157"/>
      <c r="D5" s="157"/>
      <c r="E5" s="157"/>
      <c r="F5" s="157"/>
      <c r="G5" s="157"/>
      <c r="H5" s="157"/>
    </row>
    <row r="6" spans="1:11" ht="22.15" customHeight="1">
      <c r="A6" s="157" t="str">
        <f>'Phase 2'!A6</f>
        <v>Ventes annuelles (kg)</v>
      </c>
      <c r="B6" s="157"/>
      <c r="C6" s="259">
        <f>'Phase 2'!C6</f>
        <v>0</v>
      </c>
      <c r="D6" s="279">
        <f>C6+$C$2</f>
        <v>0</v>
      </c>
      <c r="E6" s="279">
        <f t="shared" ref="E6:H6" si="0">D6+$C$2</f>
        <v>0</v>
      </c>
      <c r="F6" s="279">
        <f t="shared" si="0"/>
        <v>0</v>
      </c>
      <c r="G6" s="279">
        <f t="shared" si="0"/>
        <v>0</v>
      </c>
      <c r="H6" s="279">
        <f t="shared" si="0"/>
        <v>0</v>
      </c>
      <c r="I6" s="18"/>
      <c r="J6" s="18"/>
      <c r="K6" s="18"/>
    </row>
    <row r="7" spans="1:11" ht="22.15" customHeight="1">
      <c r="A7" s="157" t="str">
        <f>'Phase 2'!A7</f>
        <v>Prix de vente unitaire (kg)</v>
      </c>
      <c r="B7" s="157"/>
      <c r="C7" s="260">
        <f>'Phase 2'!C7</f>
        <v>0</v>
      </c>
      <c r="D7" s="261">
        <f>$C$7</f>
        <v>0</v>
      </c>
      <c r="E7" s="261">
        <f t="shared" ref="E7:H7" si="1">$C$7</f>
        <v>0</v>
      </c>
      <c r="F7" s="261">
        <f t="shared" si="1"/>
        <v>0</v>
      </c>
      <c r="G7" s="261">
        <f t="shared" si="1"/>
        <v>0</v>
      </c>
      <c r="H7" s="261">
        <f t="shared" si="1"/>
        <v>0</v>
      </c>
      <c r="I7" s="18"/>
      <c r="J7" s="18"/>
      <c r="K7" s="18"/>
    </row>
    <row r="8" spans="1:11" ht="22.15" customHeight="1">
      <c r="A8" s="163" t="s">
        <v>13</v>
      </c>
      <c r="B8" s="163"/>
      <c r="C8" s="252" t="str">
        <f>TEXT('Phase 1'!D90,"#,##0;;@")&amp;" "&amp;TEXT(C6*C7,"#,##0;-0,000;@")</f>
        <v>0 0</v>
      </c>
      <c r="D8" s="262" t="str">
        <f>TEXT('Phase 1'!$D$90,"#,##0;;@")&amp;" "&amp;TEXT(D6*D7,"#,##0;-0,000;@")</f>
        <v>0 0</v>
      </c>
      <c r="E8" s="262" t="str">
        <f>TEXT('Phase 1'!$D$90,"#,##0;;@")&amp;" "&amp;TEXT(E6*E7,"#,##0;-0,000;@")</f>
        <v>0 0</v>
      </c>
      <c r="F8" s="262" t="str">
        <f>TEXT('Phase 1'!$D$90,"#,##0;;@")&amp;" "&amp;TEXT(F6*F7,"#,##0;-0,000;@")</f>
        <v>0 0</v>
      </c>
      <c r="G8" s="262" t="str">
        <f>TEXT('Phase 1'!$D$90,"#,##0;;@")&amp;" "&amp;TEXT(G6*G7,"#,##0;-0,000;@")</f>
        <v>0 0</v>
      </c>
      <c r="H8" s="262" t="str">
        <f>TEXT('Phase 1'!$D$90,"#,##0;;@")&amp;" "&amp;TEXT(H6*H7,"#,##0;-0,000;@")</f>
        <v>0 0</v>
      </c>
      <c r="I8" s="45"/>
      <c r="J8" s="45"/>
      <c r="K8" s="45"/>
    </row>
    <row r="9" spans="1:11" ht="22.15" customHeight="1">
      <c r="A9" s="157"/>
      <c r="B9" s="157"/>
      <c r="C9" s="256"/>
      <c r="D9" s="157"/>
      <c r="E9" s="157"/>
      <c r="F9" s="157"/>
      <c r="G9" s="157"/>
      <c r="H9" s="157"/>
    </row>
    <row r="10" spans="1:11" ht="22.15" customHeight="1">
      <c r="A10" s="191" t="str">
        <f>'Phase 2'!A10</f>
        <v>Coût du produit de base (kg)</v>
      </c>
      <c r="B10" s="157"/>
      <c r="C10" s="251" t="e">
        <f>'Phase 2'!C10</f>
        <v>#N/A</v>
      </c>
      <c r="D10" s="242" t="e">
        <f>(INDEX('Phase 0'!$B$42:$F$45,MATCH('Phase 0'!B43,'Phase 0'!$B$42:$B$45),MATCH('Phase 1'!D23,'Phase 0'!$B$42:$F$42)))*(D$6*(1+'Phase 1'!D19))</f>
        <v>#N/A</v>
      </c>
      <c r="E10" s="242" t="e">
        <f>(INDEX('Phase 0'!$B$42:$F$45,MATCH('Phase 0'!B43,'Phase 0'!$B$42:$B$45),MATCH('Phase 1'!D23,'Phase 0'!$B$42:$F$42)))*(E$6*(1+'Phase 1'!D19))</f>
        <v>#N/A</v>
      </c>
      <c r="F10" s="242" t="e">
        <f>(INDEX('Phase 0'!$B$42:$F$45,MATCH('Phase 0'!B43,'Phase 0'!$B$42:$B$45),MATCH('Phase 1'!D23,'Phase 0'!$B$42:$F$42)))*($F$6*(1+'Phase 1'!D19))</f>
        <v>#N/A</v>
      </c>
      <c r="G10" s="242" t="e">
        <f>(INDEX('Phase 0'!$B$42:$F$45,MATCH('Phase 0'!B43,'Phase 0'!$B$42:$B$45),MATCH('Phase 1'!D23,'Phase 0'!$B$42:$F$42)))*(G$6*(1+'Phase 1'!D19))</f>
        <v>#N/A</v>
      </c>
      <c r="H10" s="242" t="e">
        <f>(INDEX('Phase 0'!$B$42:$F$45,MATCH('Phase 0'!B43,'Phase 0'!$B$42:$B$45),MATCH('Phase 1'!D23,'Phase 0'!$B$42:$F$42)))*($H$6*(1+'Phase 1'!D19))</f>
        <v>#N/A</v>
      </c>
      <c r="I10" s="19"/>
      <c r="J10" s="19"/>
      <c r="K10" s="19"/>
    </row>
    <row r="11" spans="1:11" ht="22.15" customHeight="1">
      <c r="A11" s="191">
        <f>'Phase 2'!A11</f>
        <v>0</v>
      </c>
      <c r="B11" s="157"/>
      <c r="C11" s="251">
        <f>'Phase 2'!C11</f>
        <v>0</v>
      </c>
      <c r="D11" s="242">
        <f>D$6*'Phase 1'!$D$28</f>
        <v>0</v>
      </c>
      <c r="E11" s="242">
        <f>E$6*'Phase 1'!$D$28</f>
        <v>0</v>
      </c>
      <c r="F11" s="242">
        <f>F$6*'Phase 1'!$D$28</f>
        <v>0</v>
      </c>
      <c r="G11" s="242">
        <f>G$6*'Phase 1'!$D$28</f>
        <v>0</v>
      </c>
      <c r="H11" s="242">
        <f>H$6*'Phase 1'!$D$28</f>
        <v>0</v>
      </c>
      <c r="I11" s="19"/>
      <c r="J11" s="19"/>
      <c r="K11" s="19"/>
    </row>
    <row r="12" spans="1:11" ht="22.15" customHeight="1">
      <c r="A12" s="191">
        <f>'Phase 2'!A12</f>
        <v>0</v>
      </c>
      <c r="B12" s="157"/>
      <c r="C12" s="251">
        <f>'Phase 2'!C12</f>
        <v>0</v>
      </c>
      <c r="D12" s="242">
        <f>D$6*'Phase 1'!$D$29</f>
        <v>0</v>
      </c>
      <c r="E12" s="242">
        <f>E$6*'Phase 1'!$D$29</f>
        <v>0</v>
      </c>
      <c r="F12" s="242">
        <f>F$6*'Phase 1'!$D$29</f>
        <v>0</v>
      </c>
      <c r="G12" s="242">
        <f>G$6*'Phase 1'!$D$29</f>
        <v>0</v>
      </c>
      <c r="H12" s="242">
        <f>H$6*'Phase 1'!$D$29</f>
        <v>0</v>
      </c>
      <c r="I12" s="19"/>
      <c r="J12" s="19"/>
      <c r="K12" s="19"/>
    </row>
    <row r="13" spans="1:11" ht="22.15" customHeight="1">
      <c r="A13" s="191">
        <f>'Phase 2'!A13</f>
        <v>0</v>
      </c>
      <c r="B13" s="157"/>
      <c r="C13" s="251">
        <f>'Phase 2'!C13</f>
        <v>0</v>
      </c>
      <c r="D13" s="242">
        <f>D$6*'Phase 1'!$D$30</f>
        <v>0</v>
      </c>
      <c r="E13" s="242">
        <f>E$6*'Phase 1'!$D$30</f>
        <v>0</v>
      </c>
      <c r="F13" s="242">
        <f>F$6*'Phase 1'!$D$30</f>
        <v>0</v>
      </c>
      <c r="G13" s="242">
        <f>G$6*'Phase 1'!$D$30</f>
        <v>0</v>
      </c>
      <c r="H13" s="242">
        <f>H$6*'Phase 1'!$D$30</f>
        <v>0</v>
      </c>
      <c r="I13" s="19"/>
      <c r="J13" s="19"/>
      <c r="K13" s="19"/>
    </row>
    <row r="14" spans="1:11" ht="22.15" customHeight="1">
      <c r="A14" s="191">
        <f>'Phase 2'!A14</f>
        <v>0</v>
      </c>
      <c r="B14" s="157"/>
      <c r="C14" s="251">
        <f>'Phase 2'!C14</f>
        <v>0</v>
      </c>
      <c r="D14" s="242">
        <f>D$6*'Phase 1'!$D$31</f>
        <v>0</v>
      </c>
      <c r="E14" s="242">
        <f>E$6*'Phase 1'!$D$31</f>
        <v>0</v>
      </c>
      <c r="F14" s="242">
        <f>F$6*'Phase 1'!$D$31</f>
        <v>0</v>
      </c>
      <c r="G14" s="242">
        <f>G$6*'Phase 1'!$D$31</f>
        <v>0</v>
      </c>
      <c r="H14" s="242">
        <f>H$6*'Phase 1'!$D$31</f>
        <v>0</v>
      </c>
      <c r="I14" s="19"/>
      <c r="J14" s="19"/>
      <c r="K14" s="19"/>
    </row>
    <row r="15" spans="1:11" ht="22.15" customHeight="1">
      <c r="A15" s="191">
        <f>'Phase 2'!A15</f>
        <v>0</v>
      </c>
      <c r="B15" s="157"/>
      <c r="C15" s="251">
        <f>'Phase 2'!C15</f>
        <v>0</v>
      </c>
      <c r="D15" s="242">
        <f>D$6*'Phase 1'!$D$32</f>
        <v>0</v>
      </c>
      <c r="E15" s="242">
        <f>E$6*'Phase 1'!$D$32</f>
        <v>0</v>
      </c>
      <c r="F15" s="242">
        <f>F$6*'Phase 1'!$D$32</f>
        <v>0</v>
      </c>
      <c r="G15" s="242">
        <f>G$6*'Phase 1'!$D$32</f>
        <v>0</v>
      </c>
      <c r="H15" s="242">
        <f>H$6*'Phase 1'!$D$32</f>
        <v>0</v>
      </c>
      <c r="I15" s="19"/>
      <c r="J15" s="19"/>
      <c r="K15" s="19"/>
    </row>
    <row r="16" spans="1:11" ht="22.15" customHeight="1">
      <c r="A16" s="191">
        <f>'Phase 2'!A16</f>
        <v>0</v>
      </c>
      <c r="B16" s="157"/>
      <c r="C16" s="251">
        <f>'Phase 2'!C16</f>
        <v>0</v>
      </c>
      <c r="D16" s="242">
        <f>D$6*'Phase 1'!$D$33</f>
        <v>0</v>
      </c>
      <c r="E16" s="242">
        <f>E$6*'Phase 1'!$D$33</f>
        <v>0</v>
      </c>
      <c r="F16" s="242">
        <f>F$6*'Phase 1'!$D$33</f>
        <v>0</v>
      </c>
      <c r="G16" s="242">
        <f>G$6*'Phase 1'!$D$33</f>
        <v>0</v>
      </c>
      <c r="H16" s="242">
        <f>H$6*'Phase 1'!$D$33</f>
        <v>0</v>
      </c>
      <c r="I16" s="19"/>
      <c r="J16" s="19"/>
      <c r="K16" s="19"/>
    </row>
    <row r="17" spans="1:11" ht="22.15" customHeight="1">
      <c r="A17" s="163" t="str">
        <f>'Phase 2'!A17</f>
        <v>Coût des marchandises vendues (CMV)</v>
      </c>
      <c r="B17" s="163"/>
      <c r="C17" s="252" t="e">
        <f>TEXT('Phase 1'!D90,"#,##0;;@")&amp;" "&amp;TEXT(SUM(C10:C16),"#,##0;-0,000;@")</f>
        <v>#N/A</v>
      </c>
      <c r="D17" s="262" t="e">
        <f>TEXT('Phase 1'!$D$90,"#,##0;;@")&amp;" "&amp;TEXT(SUM(D10:D16),"#,##0;-0,000;@")</f>
        <v>#N/A</v>
      </c>
      <c r="E17" s="262" t="e">
        <f>TEXT('Phase 1'!$D$90,"#,##0;;@")&amp;" "&amp;TEXT(SUM(E10:E16),"#,##0;-0,000;@")</f>
        <v>#N/A</v>
      </c>
      <c r="F17" s="262" t="e">
        <f>TEXT('Phase 1'!$D$90,"#,##0;;@")&amp;" "&amp;TEXT(SUM(F10:F16),"#,##0;-0,000;@")</f>
        <v>#N/A</v>
      </c>
      <c r="G17" s="262" t="e">
        <f>TEXT('Phase 1'!$D$90,"#,##0;;@")&amp;" "&amp;TEXT(SUM(G10:G16),"#,##0;-0,000;@")</f>
        <v>#N/A</v>
      </c>
      <c r="H17" s="262" t="e">
        <f>TEXT('Phase 1'!$D$90,"#,##0;;@")&amp;" "&amp;TEXT(SUM(H10:H16),"#,##0;-0,000;@")</f>
        <v>#N/A</v>
      </c>
      <c r="I17" s="45"/>
      <c r="J17" s="45"/>
      <c r="K17" s="45"/>
    </row>
    <row r="18" spans="1:11" ht="22.15" customHeight="1">
      <c r="A18" s="157"/>
      <c r="B18" s="157"/>
      <c r="C18" s="256"/>
      <c r="D18" s="157"/>
      <c r="E18" s="157"/>
      <c r="F18" s="157"/>
      <c r="G18" s="157"/>
      <c r="H18" s="157"/>
    </row>
    <row r="19" spans="1:11" ht="22.15" customHeight="1">
      <c r="A19" s="191" t="str">
        <f>'Phase 2'!A19</f>
        <v>Loyer</v>
      </c>
      <c r="B19" s="157"/>
      <c r="C19" s="251">
        <f>'Phase 2'!C19</f>
        <v>0</v>
      </c>
      <c r="D19" s="243">
        <f>C19</f>
        <v>0</v>
      </c>
      <c r="E19" s="243">
        <f t="shared" ref="E19:H19" si="2">D19</f>
        <v>0</v>
      </c>
      <c r="F19" s="243">
        <f t="shared" si="2"/>
        <v>0</v>
      </c>
      <c r="G19" s="243">
        <f t="shared" si="2"/>
        <v>0</v>
      </c>
      <c r="H19" s="243">
        <f t="shared" si="2"/>
        <v>0</v>
      </c>
      <c r="I19" s="19"/>
      <c r="J19" s="19"/>
      <c r="K19" s="19"/>
    </row>
    <row r="20" spans="1:11" ht="22.15" customHeight="1">
      <c r="A20" s="191">
        <f>'Phase 2'!A20</f>
        <v>0</v>
      </c>
      <c r="B20" s="157"/>
      <c r="C20" s="251">
        <f>'Phase 2'!C20</f>
        <v>0</v>
      </c>
      <c r="D20" s="243">
        <f t="shared" ref="D20:H27" si="3">C20</f>
        <v>0</v>
      </c>
      <c r="E20" s="243">
        <f t="shared" si="3"/>
        <v>0</v>
      </c>
      <c r="F20" s="243">
        <f t="shared" si="3"/>
        <v>0</v>
      </c>
      <c r="G20" s="243">
        <f t="shared" si="3"/>
        <v>0</v>
      </c>
      <c r="H20" s="243">
        <f t="shared" si="3"/>
        <v>0</v>
      </c>
      <c r="I20" s="19"/>
      <c r="J20" s="19"/>
      <c r="K20" s="19"/>
    </row>
    <row r="21" spans="1:11" ht="22.15" customHeight="1">
      <c r="A21" s="191">
        <f>'Phase 2'!A21</f>
        <v>0</v>
      </c>
      <c r="B21" s="157"/>
      <c r="C21" s="251">
        <f>'Phase 2'!C21</f>
        <v>0</v>
      </c>
      <c r="D21" s="243">
        <f t="shared" si="3"/>
        <v>0</v>
      </c>
      <c r="E21" s="243">
        <f t="shared" si="3"/>
        <v>0</v>
      </c>
      <c r="F21" s="243">
        <f t="shared" si="3"/>
        <v>0</v>
      </c>
      <c r="G21" s="243">
        <f t="shared" si="3"/>
        <v>0</v>
      </c>
      <c r="H21" s="243">
        <f t="shared" si="3"/>
        <v>0</v>
      </c>
      <c r="I21" s="19"/>
      <c r="J21" s="19"/>
      <c r="K21" s="19"/>
    </row>
    <row r="22" spans="1:11" ht="22.15" customHeight="1">
      <c r="A22" s="191">
        <f>'Phase 2'!A22</f>
        <v>0</v>
      </c>
      <c r="B22" s="157"/>
      <c r="C22" s="251">
        <f>'Phase 2'!C22</f>
        <v>0</v>
      </c>
      <c r="D22" s="243">
        <f t="shared" si="3"/>
        <v>0</v>
      </c>
      <c r="E22" s="243">
        <f t="shared" si="3"/>
        <v>0</v>
      </c>
      <c r="F22" s="243">
        <f t="shared" si="3"/>
        <v>0</v>
      </c>
      <c r="G22" s="243">
        <f t="shared" si="3"/>
        <v>0</v>
      </c>
      <c r="H22" s="243">
        <f t="shared" si="3"/>
        <v>0</v>
      </c>
    </row>
    <row r="23" spans="1:11" ht="22.15" customHeight="1">
      <c r="A23" s="191">
        <f>'Phase 2'!A23</f>
        <v>0</v>
      </c>
      <c r="B23" s="157"/>
      <c r="C23" s="251">
        <f>'Phase 2'!C23</f>
        <v>0</v>
      </c>
      <c r="D23" s="243">
        <f t="shared" si="3"/>
        <v>0</v>
      </c>
      <c r="E23" s="243">
        <f t="shared" si="3"/>
        <v>0</v>
      </c>
      <c r="F23" s="243">
        <f t="shared" si="3"/>
        <v>0</v>
      </c>
      <c r="G23" s="243">
        <f t="shared" si="3"/>
        <v>0</v>
      </c>
      <c r="H23" s="243">
        <f t="shared" si="3"/>
        <v>0</v>
      </c>
      <c r="I23" s="19"/>
      <c r="J23" s="19"/>
      <c r="K23" s="19"/>
    </row>
    <row r="24" spans="1:11" ht="22.15" customHeight="1">
      <c r="A24" s="191">
        <f>'Phase 2'!A24</f>
        <v>0</v>
      </c>
      <c r="B24" s="157"/>
      <c r="C24" s="251">
        <f>'Phase 2'!C24</f>
        <v>0</v>
      </c>
      <c r="D24" s="243">
        <f t="shared" si="3"/>
        <v>0</v>
      </c>
      <c r="E24" s="243">
        <f t="shared" si="3"/>
        <v>0</v>
      </c>
      <c r="F24" s="243">
        <f t="shared" si="3"/>
        <v>0</v>
      </c>
      <c r="G24" s="243">
        <f t="shared" si="3"/>
        <v>0</v>
      </c>
      <c r="H24" s="243">
        <f t="shared" si="3"/>
        <v>0</v>
      </c>
      <c r="I24" s="19"/>
      <c r="J24" s="19"/>
      <c r="K24" s="19"/>
    </row>
    <row r="25" spans="1:11" ht="22.15" customHeight="1">
      <c r="A25" s="191">
        <f>'Phase 2'!A25</f>
        <v>0</v>
      </c>
      <c r="B25" s="157"/>
      <c r="C25" s="251">
        <f>'Phase 2'!C25</f>
        <v>0</v>
      </c>
      <c r="D25" s="243">
        <f t="shared" si="3"/>
        <v>0</v>
      </c>
      <c r="E25" s="243">
        <f t="shared" si="3"/>
        <v>0</v>
      </c>
      <c r="F25" s="243">
        <f t="shared" si="3"/>
        <v>0</v>
      </c>
      <c r="G25" s="243">
        <f t="shared" si="3"/>
        <v>0</v>
      </c>
      <c r="H25" s="243">
        <f t="shared" si="3"/>
        <v>0</v>
      </c>
      <c r="I25" s="19"/>
      <c r="J25" s="19"/>
      <c r="K25" s="19"/>
    </row>
    <row r="26" spans="1:11" ht="22.15" customHeight="1">
      <c r="A26" s="191"/>
      <c r="B26" s="157"/>
      <c r="C26" s="251">
        <f>'Phase 2'!C26</f>
        <v>0</v>
      </c>
      <c r="D26" s="243"/>
      <c r="E26" s="243"/>
      <c r="F26" s="243"/>
      <c r="G26" s="243"/>
      <c r="H26" s="243"/>
      <c r="I26" s="19"/>
      <c r="J26" s="19"/>
      <c r="K26" s="19"/>
    </row>
    <row r="27" spans="1:11" ht="22.15" customHeight="1">
      <c r="A27" s="191" t="str">
        <f>'Phase 2'!A27</f>
        <v>Salaire</v>
      </c>
      <c r="B27" s="157"/>
      <c r="C27" s="251">
        <f>'Phase 2'!C27</f>
        <v>0</v>
      </c>
      <c r="D27" s="243">
        <f t="shared" si="3"/>
        <v>0</v>
      </c>
      <c r="E27" s="243">
        <f t="shared" si="3"/>
        <v>0</v>
      </c>
      <c r="F27" s="243">
        <f t="shared" si="3"/>
        <v>0</v>
      </c>
      <c r="G27" s="243">
        <f t="shared" si="3"/>
        <v>0</v>
      </c>
      <c r="H27" s="243">
        <f t="shared" si="3"/>
        <v>0</v>
      </c>
      <c r="I27" s="19"/>
      <c r="J27" s="19"/>
      <c r="K27" s="19"/>
    </row>
    <row r="28" spans="1:11" ht="22.15" customHeight="1">
      <c r="A28" s="163" t="str">
        <f>'Phase 2'!A28</f>
        <v>Dépenses de fonctionnement</v>
      </c>
      <c r="B28" s="163"/>
      <c r="C28" s="263" t="str">
        <f>TEXT('Phase 1'!D90,"#,##0;;@")&amp;" "&amp;TEXT(SUM(C19:C27),"#,##0;-0,000;@")</f>
        <v>0 0</v>
      </c>
      <c r="D28" s="264" t="str">
        <f>TEXT('Phase 1'!$D$90,"#,##0;;@")&amp;" "&amp;TEXT(SUM(D19:D27),"#,##0;-0,000;@")</f>
        <v>0 0</v>
      </c>
      <c r="E28" s="264" t="str">
        <f>TEXT('Phase 1'!$D$90,"#,##0;;@")&amp;" "&amp;TEXT(SUM(E19:E27),"#,##0;-0,000;@")</f>
        <v>0 0</v>
      </c>
      <c r="F28" s="264" t="str">
        <f>TEXT('Phase 1'!$D$90,"#,##0;;@")&amp;" "&amp;TEXT(SUM(F19:F27),"#,##0;-0,000;@")</f>
        <v>0 0</v>
      </c>
      <c r="G28" s="264" t="str">
        <f>TEXT('Phase 1'!$D$90,"#,##0;;@")&amp;" "&amp;TEXT(SUM(G19:G27),"#,##0;-0,000;@")</f>
        <v>0 0</v>
      </c>
      <c r="H28" s="264" t="str">
        <f>TEXT('Phase 1'!$D$90,"#,##0;;@")&amp;" "&amp;TEXT(SUM(H19:H27),"#,##0;-0,000;@")</f>
        <v>0 0</v>
      </c>
      <c r="I28" s="45"/>
      <c r="J28" s="45"/>
      <c r="K28" s="45"/>
    </row>
    <row r="29" spans="1:11" ht="22.15" customHeight="1">
      <c r="A29" s="157"/>
      <c r="B29" s="157"/>
      <c r="C29" s="254"/>
      <c r="D29" s="246"/>
      <c r="E29" s="246"/>
      <c r="F29" s="246"/>
      <c r="G29" s="246"/>
      <c r="H29" s="246"/>
    </row>
    <row r="30" spans="1:11" ht="22.15" customHeight="1">
      <c r="A30" s="157" t="str">
        <f>'Phase 1'!B98</f>
        <v>Capex 1</v>
      </c>
      <c r="B30" s="157"/>
      <c r="C30" s="251" t="str">
        <f>'Phase 2'!C30</f>
        <v/>
      </c>
      <c r="D30" s="243" t="str">
        <f>C30</f>
        <v/>
      </c>
      <c r="E30" s="243" t="str">
        <f t="shared" ref="E30:H30" si="4">D30</f>
        <v/>
      </c>
      <c r="F30" s="243" t="str">
        <f t="shared" si="4"/>
        <v/>
      </c>
      <c r="G30" s="243" t="str">
        <f t="shared" si="4"/>
        <v/>
      </c>
      <c r="H30" s="243" t="str">
        <f t="shared" si="4"/>
        <v/>
      </c>
    </row>
    <row r="31" spans="1:11" ht="22.15" customHeight="1">
      <c r="A31" s="157" t="str">
        <f>'Phase 1'!B99</f>
        <v>Capex 2</v>
      </c>
      <c r="B31" s="157"/>
      <c r="C31" s="251" t="str">
        <f>'Phase 2'!C31</f>
        <v/>
      </c>
      <c r="D31" s="243" t="str">
        <f t="shared" ref="D31:H33" si="5">C31</f>
        <v/>
      </c>
      <c r="E31" s="243" t="str">
        <f t="shared" si="5"/>
        <v/>
      </c>
      <c r="F31" s="243" t="str">
        <f t="shared" si="5"/>
        <v/>
      </c>
      <c r="G31" s="243" t="str">
        <f t="shared" si="5"/>
        <v/>
      </c>
      <c r="H31" s="243" t="str">
        <f t="shared" si="5"/>
        <v/>
      </c>
    </row>
    <row r="32" spans="1:11" ht="22.15" customHeight="1">
      <c r="A32" s="157" t="str">
        <f>'Phase 1'!B100</f>
        <v>Capex 3</v>
      </c>
      <c r="B32" s="157"/>
      <c r="C32" s="251" t="str">
        <f>'Phase 2'!C32</f>
        <v/>
      </c>
      <c r="D32" s="243" t="str">
        <f t="shared" si="5"/>
        <v/>
      </c>
      <c r="E32" s="243" t="str">
        <f t="shared" si="5"/>
        <v/>
      </c>
      <c r="F32" s="243" t="str">
        <f t="shared" si="5"/>
        <v/>
      </c>
      <c r="G32" s="243" t="str">
        <f t="shared" si="5"/>
        <v/>
      </c>
      <c r="H32" s="243" t="str">
        <f t="shared" si="5"/>
        <v/>
      </c>
    </row>
    <row r="33" spans="1:11" ht="22.15" customHeight="1">
      <c r="A33" s="157" t="str">
        <f>'Phase 1'!B101</f>
        <v>Capex 4</v>
      </c>
      <c r="B33" s="157"/>
      <c r="C33" s="251" t="str">
        <f>'Phase 2'!C33</f>
        <v/>
      </c>
      <c r="D33" s="243" t="str">
        <f t="shared" si="5"/>
        <v/>
      </c>
      <c r="E33" s="243" t="str">
        <f t="shared" ref="E33" si="6">D33</f>
        <v/>
      </c>
      <c r="F33" s="243" t="str">
        <f t="shared" ref="F33" si="7">E33</f>
        <v/>
      </c>
      <c r="G33" s="243" t="str">
        <f t="shared" ref="G33" si="8">F33</f>
        <v/>
      </c>
      <c r="H33" s="243" t="str">
        <f t="shared" ref="H33" si="9">G33</f>
        <v/>
      </c>
    </row>
    <row r="34" spans="1:11" ht="22.15" customHeight="1">
      <c r="A34" s="157"/>
      <c r="B34" s="157"/>
      <c r="C34" s="251"/>
      <c r="D34" s="243"/>
      <c r="E34" s="243"/>
      <c r="F34" s="243"/>
      <c r="G34" s="243"/>
      <c r="H34" s="243"/>
    </row>
    <row r="35" spans="1:11" ht="22.15" customHeight="1">
      <c r="A35" s="163" t="s">
        <v>9</v>
      </c>
      <c r="B35" s="163"/>
      <c r="C35" s="263" t="str">
        <f>TEXT('Phase 1'!D90,"#,##0;;@")&amp;" "&amp;TEXT(SUM(C30:C34),"#,##0;-0,000;@")</f>
        <v>0 0</v>
      </c>
      <c r="D35" s="264" t="str">
        <f>TEXT('Phase 1'!$D$90,"#,##0;;@")&amp;" "&amp;TEXT(SUM(D30:D34),"#,##0;-0,000;@")</f>
        <v>0 0</v>
      </c>
      <c r="E35" s="264" t="str">
        <f>TEXT('Phase 1'!$D$90,"#,##0;;@")&amp;" "&amp;TEXT(SUM(E30:E34),"#,##0;-0,000;@")</f>
        <v>0 0</v>
      </c>
      <c r="F35" s="264" t="str">
        <f>TEXT('Phase 1'!$D$90,"#,##0;;@")&amp;" "&amp;TEXT(SUM(F30:F34),"#,##0;-0,000;@")</f>
        <v>0 0</v>
      </c>
      <c r="G35" s="264" t="str">
        <f>TEXT('Phase 1'!$D$90,"#,##0;;@")&amp;" "&amp;TEXT(SUM(G30:G34),"#,##0;-0,000;@")</f>
        <v>0 0</v>
      </c>
      <c r="H35" s="264" t="str">
        <f>TEXT('Phase 1'!$D$90,"#,##0;;@")&amp;" "&amp;TEXT(SUM(H30:H34),"#,##0;-0,000;@")</f>
        <v>0 0</v>
      </c>
    </row>
    <row r="36" spans="1:11" ht="22.15" customHeight="1">
      <c r="A36" s="157"/>
      <c r="B36" s="157"/>
      <c r="C36" s="254"/>
      <c r="D36" s="246"/>
      <c r="E36" s="246"/>
      <c r="F36" s="246"/>
      <c r="G36" s="246"/>
      <c r="H36" s="246"/>
    </row>
    <row r="37" spans="1:11" ht="22.15" customHeight="1">
      <c r="A37" s="174" t="str">
        <f>'Phase 2'!A38</f>
        <v>Marge bénéficiaire brute</v>
      </c>
      <c r="B37" s="175"/>
      <c r="C37" s="255" t="e">
        <f>TEXT('Phase 1'!D90,"#,##0;;@")&amp;" "&amp;TEXT(SUM((C6*C7)-SUM(C10:C16)),"#,##0;-0,000;@")</f>
        <v>#N/A</v>
      </c>
      <c r="D37" s="247" t="e">
        <f>TEXT('Phase 1'!$D$90,"#,##0;;@")&amp;" "&amp;TEXT(SUM((D6*D7)-SUM(D10:D16)),"#,##0;-0,000;@")</f>
        <v>#N/A</v>
      </c>
      <c r="E37" s="247" t="e">
        <f>TEXT('Phase 1'!$D$90,"#,##0;;@")&amp;" "&amp;TEXT(SUM((E6*E7)-SUM(E10:E16)),"#,##0;-0,000;@")</f>
        <v>#N/A</v>
      </c>
      <c r="F37" s="247" t="e">
        <f>TEXT('Phase 1'!$D$90,"#,##0;;@")&amp;" "&amp;TEXT(SUM((F6*F7)-SUM(F10:F16)),"#,##0;-0,000;@")</f>
        <v>#N/A</v>
      </c>
      <c r="G37" s="247" t="e">
        <f>TEXT('Phase 1'!$D$90,"#,##0;;@")&amp;" "&amp;TEXT(SUM((G6*G7)-SUM(G10:G16)),"#,##0;-0,000;@")</f>
        <v>#N/A</v>
      </c>
      <c r="H37" s="247" t="e">
        <f>TEXT('Phase 1'!$D$90,"#,##0;;@")&amp;" "&amp;TEXT(SUM((H6*H7)-SUM(H10:H16)),"#,##0;-0,000;@")</f>
        <v>#N/A</v>
      </c>
      <c r="I37" s="46"/>
      <c r="J37" s="46"/>
      <c r="K37" s="46"/>
    </row>
    <row r="38" spans="1:11" ht="22.15" customHeight="1">
      <c r="A38" s="157"/>
      <c r="B38" s="157"/>
      <c r="C38" s="256"/>
      <c r="D38" s="157"/>
      <c r="E38" s="157"/>
      <c r="F38" s="157"/>
      <c r="G38" s="157"/>
      <c r="H38" s="157"/>
    </row>
    <row r="39" spans="1:11" ht="22.15" customHeight="1" thickBot="1">
      <c r="A39" s="178" t="str">
        <f>'Phase 2'!A40</f>
        <v>Marge bénéficiaire nette</v>
      </c>
      <c r="B39" s="178"/>
      <c r="C39" s="257" t="e">
        <f>TEXT('Phase 1'!D90,"#,##0;;@")&amp;" "&amp;TEXT((SUM(C6*C7)-SUM(C10:C16))-(SUM(C19:C27))-(SUM(C30:C33)),"#,##0;-0.000;@")</f>
        <v>#N/A</v>
      </c>
      <c r="D39" s="248" t="e">
        <f>TEXT('Phase 1'!$D$90,"#,##0;;@")&amp;" "&amp;TEXT((SUM(D6*D7)-SUM(D10:D16))-(SUM(D19:D27))-(SUM(D30:D33)),"#,##0;-0,000;@")</f>
        <v>#N/A</v>
      </c>
      <c r="E39" s="248" t="e">
        <f>TEXT('Phase 1'!$D$90,"#,##0;;@")&amp;" "&amp;TEXT((SUM(E6*E7)-SUM(E10:E16))-(SUM(E19:E27))-(SUM(E30:E33)),"#,##0;-0,000;@")</f>
        <v>#N/A</v>
      </c>
      <c r="F39" s="248" t="e">
        <f>TEXT('Phase 1'!$D$90,"#,##0;;@")&amp;" "&amp;TEXT((SUM(F6*F7)-SUM(F10:F16))-(SUM(F19:F27))-(SUM(F30:F33)),"#,##0;-0,000;@")</f>
        <v>#N/A</v>
      </c>
      <c r="G39" s="248" t="e">
        <f>TEXT('Phase 1'!$D$90,"#,##0;;@")&amp;" "&amp;TEXT((SUM(G6*G7)-SUM(G10:G16))-(SUM(G19:G27))-(SUM(G30:G33)),"#,##0;-0,000;@")</f>
        <v>#N/A</v>
      </c>
      <c r="H39" s="248" t="e">
        <f>TEXT('Phase 1'!$D$90,"#,##0;;@")&amp;" "&amp;TEXT((SUM(H6*H7)-SUM(H10:H16))-(SUM(H19:H27))-(SUM(H30:H33)),"#,##0;-0,000;@")</f>
        <v>#N/A</v>
      </c>
      <c r="I39" s="47"/>
      <c r="J39" s="47"/>
      <c r="K39" s="47"/>
    </row>
    <row r="40" spans="1:11" ht="22.15" customHeight="1" thickTop="1">
      <c r="A40" s="157"/>
      <c r="B40" s="157"/>
      <c r="C40" s="256"/>
      <c r="D40" s="157"/>
      <c r="E40" s="157"/>
      <c r="F40" s="157"/>
      <c r="G40" s="157"/>
      <c r="H40" s="157"/>
    </row>
    <row r="41" spans="1:11" ht="22.15" customHeight="1" thickBot="1">
      <c r="A41" s="249" t="s">
        <v>6</v>
      </c>
      <c r="B41" s="182"/>
      <c r="C41" s="258" t="e">
        <f>((SUM(C6*C7)-SUM(C10:C16))-(SUM(C19:C27))-(SUM(C30:C33)))/(C6*C7)</f>
        <v>#N/A</v>
      </c>
      <c r="D41" s="250" t="e">
        <f>((D6*D7)-(SUM(D10:D16))-(SUM(D19:D27))-(SUM(D30:D33)))/(D6*D7)</f>
        <v>#N/A</v>
      </c>
      <c r="E41" s="250" t="e">
        <f t="shared" ref="E41:H41" si="10">((E6*E7)-(SUM(E10:E16))-(SUM(E19:E27))-(SUM(E30:E33)))/(E6*E7)</f>
        <v>#N/A</v>
      </c>
      <c r="F41" s="250" t="e">
        <f t="shared" si="10"/>
        <v>#N/A</v>
      </c>
      <c r="G41" s="250" t="e">
        <f t="shared" si="10"/>
        <v>#N/A</v>
      </c>
      <c r="H41" s="250" t="e">
        <f t="shared" si="10"/>
        <v>#N/A</v>
      </c>
      <c r="I41" s="38"/>
      <c r="J41" s="38"/>
      <c r="K41" s="38"/>
    </row>
  </sheetData>
  <sheetProtection selectLockedCells="1"/>
  <mergeCells count="3">
    <mergeCell ref="A2:B2"/>
    <mergeCell ref="D2:H2"/>
    <mergeCell ref="A1:H1"/>
  </mergeCells>
  <conditionalFormatting sqref="C39:H39">
    <cfRule type="containsText" dxfId="2" priority="1" operator="containsText" text="-">
      <formula>NOT(ISERROR(SEARCH("-",C39)))</formula>
    </cfRule>
  </conditionalFormatting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H44"/>
  <sheetViews>
    <sheetView tabSelected="1" zoomScale="80" zoomScaleNormal="80" workbookViewId="0">
      <pane ySplit="9" topLeftCell="A10" activePane="bottomLeft" state="frozen"/>
      <selection pane="bottomLeft" activeCell="E40" activeCellId="4" sqref="E9 E18 E29 E36 E40"/>
    </sheetView>
  </sheetViews>
  <sheetFormatPr defaultColWidth="0" defaultRowHeight="19.5"/>
  <cols>
    <col min="1" max="1" width="26" style="157" customWidth="1"/>
    <col min="2" max="2" width="5" style="157" customWidth="1"/>
    <col min="3" max="3" width="19.75" style="157" customWidth="1"/>
    <col min="4" max="4" width="11.25" style="157" customWidth="1"/>
    <col min="5" max="5" width="24.75" style="157" customWidth="1"/>
    <col min="6" max="6" width="43.75" style="157" customWidth="1"/>
    <col min="7" max="7" width="10.75" style="157" hidden="1" customWidth="1"/>
    <col min="8" max="8" width="21.75" style="157" hidden="1" customWidth="1"/>
    <col min="9" max="16384" width="10.75" style="157" hidden="1"/>
  </cols>
  <sheetData>
    <row r="1" spans="1:7" ht="91.35" customHeight="1" thickBot="1">
      <c r="A1" s="374" t="s">
        <v>148</v>
      </c>
      <c r="B1" s="374"/>
      <c r="C1" s="374"/>
      <c r="D1" s="374"/>
      <c r="E1" s="374"/>
      <c r="F1" s="156"/>
    </row>
    <row r="2" spans="1:7" ht="56.65" customHeight="1" thickBot="1">
      <c r="A2" s="375" t="s">
        <v>112</v>
      </c>
      <c r="B2" s="376"/>
      <c r="C2" s="276" t="s">
        <v>165</v>
      </c>
      <c r="D2" s="375" t="s">
        <v>77</v>
      </c>
      <c r="E2" s="376"/>
    </row>
    <row r="3" spans="1:7" ht="50.65" customHeight="1" thickBot="1">
      <c r="A3" s="375" t="s">
        <v>113</v>
      </c>
      <c r="B3" s="376"/>
      <c r="C3" s="276" t="s">
        <v>166</v>
      </c>
      <c r="D3" s="375" t="s">
        <v>77</v>
      </c>
      <c r="E3" s="376"/>
    </row>
    <row r="4" spans="1:7" ht="22.15" customHeight="1"/>
    <row r="5" spans="1:7" ht="22.15" customHeight="1">
      <c r="C5" s="190">
        <f>'Phase 1'!D90</f>
        <v>0</v>
      </c>
      <c r="E5" s="190" t="s">
        <v>75</v>
      </c>
    </row>
    <row r="6" spans="1:7" ht="22.15" customHeight="1"/>
    <row r="7" spans="1:7" ht="22.15" customHeight="1">
      <c r="A7" s="191" t="str">
        <f>'Phase 2'!A6</f>
        <v>Ventes annuelles (kg)</v>
      </c>
      <c r="C7" s="162" cm="1">
        <f t="array" ref="C7">_xlfn.IFS(C3="Scénario 1",'Phase 4'!D6,C3="Scénario 2",'Phase 4'!E6,C3="Scénario 3",'Phase 4'!F6,C3="Scénario 4",'Phase 4'!G6,C3="Scénario 5",'Phase 4'!H6)</f>
        <v>0</v>
      </c>
      <c r="D7" s="162"/>
      <c r="E7" s="162">
        <f>C7</f>
        <v>0</v>
      </c>
      <c r="F7" s="266"/>
      <c r="G7" s="267"/>
    </row>
    <row r="8" spans="1:7" ht="22.15" customHeight="1">
      <c r="A8" s="191" t="str">
        <f>'Phase 2'!A7</f>
        <v>Prix de vente unitaire (kg)</v>
      </c>
      <c r="C8" s="162" cm="1">
        <f t="array" ref="C8">_xlfn.IFS(C2="Scénario 1",'Phase 3'!D7,C2="Scénario 2",'Phase 3'!E7,C2="Scénario 3",'Phase 3'!F7,C2="Scénario 4",'Phase 3'!G7,C2="Scénario 5",'Phase 3'!H7)</f>
        <v>0</v>
      </c>
      <c r="D8" s="162"/>
      <c r="E8" s="243" t="e">
        <f>C8/'Phase 1'!$D$92</f>
        <v>#DIV/0!</v>
      </c>
      <c r="F8" s="266"/>
      <c r="G8" s="267"/>
    </row>
    <row r="9" spans="1:7" ht="22.15" customHeight="1">
      <c r="A9" s="163" t="s">
        <v>13</v>
      </c>
      <c r="B9" s="163"/>
      <c r="C9" s="244" t="str">
        <f>TEXT('Phase 1'!$D$90,"#,##0;;@")&amp;" "&amp;TEXT(C7*C8,"#,##0;-0,000;@")</f>
        <v>0 0</v>
      </c>
      <c r="D9" s="270"/>
      <c r="E9" s="382" t="e">
        <f>(C7*C8)/'Phase 1'!$D$92</f>
        <v>#DIV/0!</v>
      </c>
      <c r="F9" s="164"/>
    </row>
    <row r="10" spans="1:7" ht="22.15" customHeight="1"/>
    <row r="11" spans="1:7" ht="22.15" customHeight="1">
      <c r="A11" s="191" t="str">
        <f>'Phase 2'!A10</f>
        <v>Coût du produit de base (kg)</v>
      </c>
      <c r="C11" s="243" t="e">
        <f>(INDEX('Phase 0'!$B$42:$F$45,MATCH('Phase 0'!B43,'Phase 0'!$B$42:$B$45),MATCH('Phase 1'!D23,'Phase 0'!$B$42:$F$42)))*(C$7*(1+'Phase 1'!D19))</f>
        <v>#N/A</v>
      </c>
      <c r="D11" s="168"/>
      <c r="E11" s="243" t="e">
        <f>C11/'Phase 1'!$D$92</f>
        <v>#N/A</v>
      </c>
      <c r="F11" s="168"/>
    </row>
    <row r="12" spans="1:7" ht="22.15" customHeight="1">
      <c r="A12" s="191">
        <f>'Phase 2'!A11</f>
        <v>0</v>
      </c>
      <c r="C12" s="243">
        <f>C$7*'Phase 1'!$D$28</f>
        <v>0</v>
      </c>
      <c r="D12" s="168"/>
      <c r="E12" s="243" t="e">
        <f>C12/'Phase 1'!$D$92</f>
        <v>#DIV/0!</v>
      </c>
      <c r="F12" s="168"/>
    </row>
    <row r="13" spans="1:7" ht="22.15" customHeight="1">
      <c r="A13" s="191">
        <f>'Phase 2'!A12</f>
        <v>0</v>
      </c>
      <c r="C13" s="243">
        <f>C$7*'Phase 1'!$D$29</f>
        <v>0</v>
      </c>
      <c r="D13" s="168"/>
      <c r="E13" s="243" t="e">
        <f>C13/'Phase 1'!$D$92</f>
        <v>#DIV/0!</v>
      </c>
      <c r="F13" s="168"/>
    </row>
    <row r="14" spans="1:7" ht="22.15" customHeight="1">
      <c r="A14" s="191">
        <f>'Phase 2'!A13</f>
        <v>0</v>
      </c>
      <c r="C14" s="243">
        <f>C$7*'Phase 1'!$D$30</f>
        <v>0</v>
      </c>
      <c r="D14" s="168"/>
      <c r="E14" s="243" t="e">
        <f>C14/'Phase 1'!$D$92</f>
        <v>#DIV/0!</v>
      </c>
      <c r="F14" s="168"/>
    </row>
    <row r="15" spans="1:7" ht="22.15" customHeight="1">
      <c r="A15" s="191">
        <f>'Phase 2'!A14</f>
        <v>0</v>
      </c>
      <c r="C15" s="243">
        <f>C$7*'Phase 1'!$D$31</f>
        <v>0</v>
      </c>
      <c r="D15" s="168"/>
      <c r="E15" s="243" t="e">
        <f>C15/'Phase 1'!$D$92</f>
        <v>#DIV/0!</v>
      </c>
      <c r="F15" s="168"/>
    </row>
    <row r="16" spans="1:7" ht="22.15" customHeight="1">
      <c r="A16" s="191">
        <f>'Phase 2'!A15</f>
        <v>0</v>
      </c>
      <c r="C16" s="243">
        <f>C$7*'Phase 1'!$D$32</f>
        <v>0</v>
      </c>
      <c r="D16" s="168"/>
      <c r="E16" s="243" t="e">
        <f>C16/'Phase 1'!$D$92</f>
        <v>#DIV/0!</v>
      </c>
      <c r="F16" s="168"/>
    </row>
    <row r="17" spans="1:6" ht="22.15" customHeight="1">
      <c r="A17" s="191">
        <f>'Phase 2'!A16</f>
        <v>0</v>
      </c>
      <c r="C17" s="243">
        <f>C$7*'Phase 1'!$D$33</f>
        <v>0</v>
      </c>
      <c r="D17" s="168"/>
      <c r="E17" s="243" t="e">
        <f>C17/'Phase 1'!$D$92</f>
        <v>#DIV/0!</v>
      </c>
      <c r="F17" s="168"/>
    </row>
    <row r="18" spans="1:6" ht="22.15" customHeight="1">
      <c r="A18" s="163" t="s">
        <v>12</v>
      </c>
      <c r="B18" s="163"/>
      <c r="C18" s="244" t="e">
        <f>TEXT('Phase 1'!$D$90,"#,##0;;@")&amp;" "&amp;TEXT(SUM(C11:C17),"#,##0;-0,000;@")</f>
        <v>#N/A</v>
      </c>
      <c r="D18" s="270"/>
      <c r="E18" s="382" t="e">
        <f>SUM(E11:E17)</f>
        <v>#N/A</v>
      </c>
      <c r="F18" s="164"/>
    </row>
    <row r="19" spans="1:6" ht="22.15" customHeight="1"/>
    <row r="20" spans="1:6" ht="22.15" customHeight="1">
      <c r="A20" s="191" t="str">
        <f>'Phase 2'!A19</f>
        <v>Loyer</v>
      </c>
      <c r="C20" s="243">
        <f>'Phase 2'!C19</f>
        <v>0</v>
      </c>
      <c r="D20" s="168"/>
      <c r="E20" s="243" t="e">
        <f>C20/'Phase 1'!$D$92</f>
        <v>#DIV/0!</v>
      </c>
      <c r="F20" s="168"/>
    </row>
    <row r="21" spans="1:6" ht="22.15" customHeight="1">
      <c r="A21" s="191">
        <f>'Phase 2'!A20</f>
        <v>0</v>
      </c>
      <c r="C21" s="243">
        <f>'Phase 2'!C20</f>
        <v>0</v>
      </c>
      <c r="D21" s="168"/>
      <c r="E21" s="243" t="e">
        <f>C21/'Phase 1'!$D$92</f>
        <v>#DIV/0!</v>
      </c>
      <c r="F21" s="168"/>
    </row>
    <row r="22" spans="1:6" ht="22.15" customHeight="1">
      <c r="A22" s="191">
        <f>'Phase 2'!A21</f>
        <v>0</v>
      </c>
      <c r="C22" s="243">
        <f>'Phase 2'!C21</f>
        <v>0</v>
      </c>
      <c r="D22" s="168"/>
      <c r="E22" s="243" t="e">
        <f>C22/'Phase 1'!$D$92</f>
        <v>#DIV/0!</v>
      </c>
      <c r="F22" s="168"/>
    </row>
    <row r="23" spans="1:6" ht="22.15" customHeight="1">
      <c r="A23" s="191">
        <f>'Phase 2'!A22</f>
        <v>0</v>
      </c>
      <c r="C23" s="243">
        <f>'Phase 2'!C22</f>
        <v>0</v>
      </c>
      <c r="E23" s="243" t="e">
        <f>C23/'Phase 1'!$D$92</f>
        <v>#DIV/0!</v>
      </c>
    </row>
    <row r="24" spans="1:6" ht="22.15" customHeight="1">
      <c r="A24" s="191">
        <f>'Phase 2'!A23</f>
        <v>0</v>
      </c>
      <c r="C24" s="243">
        <f>'Phase 2'!C23</f>
        <v>0</v>
      </c>
      <c r="D24" s="168"/>
      <c r="E24" s="243" t="e">
        <f>C24/'Phase 1'!$D$92</f>
        <v>#DIV/0!</v>
      </c>
      <c r="F24" s="168"/>
    </row>
    <row r="25" spans="1:6" ht="22.15" customHeight="1">
      <c r="A25" s="191">
        <f>'Phase 2'!A24</f>
        <v>0</v>
      </c>
      <c r="C25" s="243">
        <f>'Phase 2'!C24</f>
        <v>0</v>
      </c>
      <c r="D25" s="168"/>
      <c r="E25" s="243" t="e">
        <f>C25/'Phase 1'!$D$92</f>
        <v>#DIV/0!</v>
      </c>
      <c r="F25" s="168"/>
    </row>
    <row r="26" spans="1:6" ht="22.15" customHeight="1">
      <c r="A26" s="191">
        <f>'Phase 2'!A25</f>
        <v>0</v>
      </c>
      <c r="C26" s="243">
        <f>'Phase 2'!C25</f>
        <v>0</v>
      </c>
      <c r="D26" s="168"/>
      <c r="E26" s="243" t="e">
        <f>C26/'Phase 1'!$D$92</f>
        <v>#DIV/0!</v>
      </c>
      <c r="F26" s="168"/>
    </row>
    <row r="27" spans="1:6" ht="22.15" customHeight="1">
      <c r="A27" s="191"/>
      <c r="C27" s="243"/>
      <c r="D27" s="168"/>
      <c r="E27" s="271"/>
      <c r="F27" s="168"/>
    </row>
    <row r="28" spans="1:6" ht="22.15" customHeight="1">
      <c r="A28" s="191" t="str">
        <f>'Phase 2'!A27</f>
        <v>Salaire</v>
      </c>
      <c r="C28" s="243">
        <f>'Phase 2'!C27</f>
        <v>0</v>
      </c>
      <c r="D28" s="168"/>
      <c r="E28" s="243" t="e">
        <f>C28/'Phase 1'!$D$92</f>
        <v>#DIV/0!</v>
      </c>
      <c r="F28" s="168"/>
    </row>
    <row r="29" spans="1:6" ht="22.15" customHeight="1">
      <c r="A29" s="163" t="s">
        <v>10</v>
      </c>
      <c r="B29" s="163"/>
      <c r="C29" s="244" t="str">
        <f>TEXT('Phase 1'!$D$90,"#,##0;;@")&amp;" "&amp;TEXT(SUM(C20:C28),"#,##0;-0,000;@")</f>
        <v>0 0</v>
      </c>
      <c r="D29" s="272" t="e">
        <f>SUM(C19:C27)/(C7*C8)</f>
        <v>#DIV/0!</v>
      </c>
      <c r="E29" s="382" t="e">
        <f>SUM(E20:E28)</f>
        <v>#DIV/0!</v>
      </c>
      <c r="F29" s="268"/>
    </row>
    <row r="30" spans="1:6" ht="22.15" customHeight="1"/>
    <row r="31" spans="1:6" ht="22.15" customHeight="1">
      <c r="A31" s="157" t="str">
        <f>'Phase 1'!B98</f>
        <v>Capex 1</v>
      </c>
      <c r="C31" s="162" t="str">
        <f>'Phase 2'!C30</f>
        <v/>
      </c>
      <c r="E31" s="243" t="str">
        <f>IFERROR(C31/'Phase 1'!$D$92,"")</f>
        <v/>
      </c>
    </row>
    <row r="32" spans="1:6" ht="22.15" customHeight="1">
      <c r="A32" s="157" t="str">
        <f>'Phase 1'!B99</f>
        <v>Capex 2</v>
      </c>
      <c r="C32" s="162" t="str">
        <f>'Phase 2'!C31</f>
        <v/>
      </c>
      <c r="E32" s="243" t="str">
        <f>IFERROR(C32/'Phase 1'!$D$92,"")</f>
        <v/>
      </c>
    </row>
    <row r="33" spans="1:6" ht="22.15" customHeight="1">
      <c r="A33" s="157" t="str">
        <f>'Phase 1'!B100</f>
        <v>Capex 3</v>
      </c>
      <c r="C33" s="162" t="str">
        <f>'Phase 2'!C32</f>
        <v/>
      </c>
      <c r="E33" s="243" t="str">
        <f>IFERROR(C33/'Phase 1'!$D$92,"")</f>
        <v/>
      </c>
    </row>
    <row r="34" spans="1:6" ht="22.15" customHeight="1">
      <c r="A34" s="157" t="str">
        <f>'Phase 1'!B101</f>
        <v>Capex 4</v>
      </c>
      <c r="C34" s="162" t="str">
        <f>'Phase 2'!C33</f>
        <v/>
      </c>
      <c r="E34" s="243" t="str">
        <f>IFERROR(C34/'Phase 1'!$D$92,"")</f>
        <v/>
      </c>
    </row>
    <row r="35" spans="1:6" ht="22.15" customHeight="1">
      <c r="C35" s="162"/>
      <c r="E35" s="162"/>
    </row>
    <row r="36" spans="1:6" ht="22.15" customHeight="1">
      <c r="A36" s="163" t="s">
        <v>9</v>
      </c>
      <c r="B36" s="270"/>
      <c r="C36" s="244" t="str">
        <f>TEXT('Phase 1'!$D$90,"#,##0;;@")&amp;" "&amp;TEXT(SUM(C31:C35),"#,##0;-0,000;@")</f>
        <v>0 0</v>
      </c>
      <c r="D36" s="272" t="e">
        <f>SUM(C31:C34)/(C7*C8)</f>
        <v>#DIV/0!</v>
      </c>
      <c r="E36" s="382">
        <f>SUM(E31:E35)</f>
        <v>0</v>
      </c>
    </row>
    <row r="37" spans="1:6" ht="22.15" customHeight="1"/>
    <row r="38" spans="1:6" ht="22.15" customHeight="1">
      <c r="A38" s="269" t="s">
        <v>8</v>
      </c>
      <c r="B38" s="269"/>
      <c r="C38" s="273" t="e">
        <f>TEXT('Phase 1'!$D$90,"#,##0;;@")&amp;" "&amp;TEXT(SUM((C7*C8)-SUM(C11:C17)),"#,##0;-0,000;@")</f>
        <v>#N/A</v>
      </c>
      <c r="D38" s="272" t="e">
        <f>((C7*C8)-SUM(C11:C17))/(C8*C7)</f>
        <v>#N/A</v>
      </c>
      <c r="E38" s="274" t="e">
        <f>E9-E18</f>
        <v>#DIV/0!</v>
      </c>
      <c r="F38" s="177"/>
    </row>
    <row r="39" spans="1:6" ht="22.15" customHeight="1"/>
    <row r="40" spans="1:6" ht="22.15" customHeight="1" thickBot="1">
      <c r="A40" s="178" t="s">
        <v>7</v>
      </c>
      <c r="B40" s="178"/>
      <c r="C40" s="248" t="e">
        <f>TEXT('Phase 1'!D90,"#,##0;;@")&amp;" "&amp;TEXT((SUM(C7*C8)-SUM(C11:C17))-(SUM(C20:C28))-(SUM(C31:C34)),"#,##0;-0,000;@")</f>
        <v>#N/A</v>
      </c>
      <c r="D40" s="275" t="e">
        <f>((SUM(C7*C8)-SUM(C11:C17))-(SUM(C20:C28))-(SUM(C31:C34)))/(C7*C8)</f>
        <v>#N/A</v>
      </c>
      <c r="E40" s="383" t="e">
        <f>E38-E29-E36</f>
        <v>#DIV/0!</v>
      </c>
      <c r="F40" s="180"/>
    </row>
    <row r="41" spans="1:6" ht="20.25" thickTop="1">
      <c r="C41" s="165"/>
    </row>
    <row r="42" spans="1:6">
      <c r="A42" s="181"/>
      <c r="B42" s="182"/>
      <c r="D42" s="183"/>
      <c r="E42" s="183"/>
      <c r="F42" s="183"/>
    </row>
    <row r="44" spans="1:6" ht="15" customHeight="1"/>
  </sheetData>
  <sheetProtection selectLockedCells="1"/>
  <mergeCells count="5">
    <mergeCell ref="A1:E1"/>
    <mergeCell ref="A3:B3"/>
    <mergeCell ref="A2:B2"/>
    <mergeCell ref="D3:E3"/>
    <mergeCell ref="D2:E2"/>
  </mergeCells>
  <conditionalFormatting sqref="C40">
    <cfRule type="containsText" dxfId="1" priority="1" operator="containsText" text="-">
      <formula>NOT(ISERROR(SEARCH("-",C40)))</formula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'Phase 3'!$D$4:$H$4</xm:f>
          </x14:formula1>
          <xm:sqref>C3</xm:sqref>
        </x14:dataValidation>
        <x14:dataValidation type="list" allowBlank="1" showInputMessage="1" showErrorMessage="1" xr:uid="{00000000-0002-0000-0600-000001000000}">
          <x14:formula1>
            <xm:f>'Phase 4'!$D$4:$H$4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H41"/>
  <sheetViews>
    <sheetView zoomScale="80" zoomScaleNormal="80" workbookViewId="0">
      <pane ySplit="4" topLeftCell="A5" activePane="bottomLeft" state="frozen"/>
      <selection pane="bottomLeft" activeCell="A7" sqref="A7"/>
    </sheetView>
  </sheetViews>
  <sheetFormatPr defaultColWidth="0" defaultRowHeight="19.5"/>
  <cols>
    <col min="1" max="1" width="19.25" style="157" customWidth="1"/>
    <col min="2" max="2" width="10.75" style="157" customWidth="1"/>
    <col min="3" max="3" width="16" style="157" customWidth="1"/>
    <col min="4" max="4" width="18" style="157" customWidth="1"/>
    <col min="5" max="5" width="17.75" style="157" customWidth="1"/>
    <col min="6" max="6" width="10.75" style="157" customWidth="1"/>
    <col min="7" max="7" width="21.75" style="157" customWidth="1"/>
    <col min="8" max="8" width="10.75" style="157" customWidth="1"/>
    <col min="9" max="16384" width="10.75" style="157" hidden="1"/>
  </cols>
  <sheetData>
    <row r="1" spans="1:7" ht="102.6" customHeight="1">
      <c r="A1" s="374" t="s">
        <v>96</v>
      </c>
      <c r="B1" s="374"/>
      <c r="C1" s="374"/>
      <c r="D1" s="374"/>
      <c r="E1" s="374"/>
      <c r="F1" s="374"/>
      <c r="G1" s="374"/>
    </row>
    <row r="2" spans="1:7" ht="48.6" customHeight="1">
      <c r="A2" s="377" t="s">
        <v>134</v>
      </c>
      <c r="B2" s="377"/>
      <c r="C2" s="377"/>
      <c r="D2" s="377"/>
      <c r="E2" s="377"/>
      <c r="F2" s="377"/>
      <c r="G2" s="377"/>
    </row>
    <row r="3" spans="1:7" ht="46.35" customHeight="1"/>
    <row r="4" spans="1:7" ht="24" customHeight="1">
      <c r="C4" s="265" t="s">
        <v>136</v>
      </c>
      <c r="D4" s="265" t="s">
        <v>34</v>
      </c>
      <c r="E4" s="265" t="s">
        <v>15</v>
      </c>
    </row>
    <row r="5" spans="1:7" ht="34.9" customHeight="1" thickBot="1"/>
    <row r="6" spans="1:7" ht="22.15" customHeight="1">
      <c r="A6" s="157" t="str">
        <f>'Phase 2'!A6</f>
        <v>Ventes annuelles (kg)</v>
      </c>
      <c r="C6" s="289">
        <f>'Phase 5'!C7</f>
        <v>0</v>
      </c>
      <c r="D6" s="161">
        <f>'Phase 5'!C7</f>
        <v>0</v>
      </c>
      <c r="E6" s="283">
        <f>'Phase 5'!C7</f>
        <v>0</v>
      </c>
    </row>
    <row r="7" spans="1:7" ht="22.15" customHeight="1">
      <c r="A7" s="157" t="str">
        <f>'Phase 2'!A7</f>
        <v>Prix de vente unitaire (kg)</v>
      </c>
      <c r="C7" s="290">
        <f>'Phase 5'!C8</f>
        <v>0</v>
      </c>
      <c r="D7" s="161">
        <f>'Phase 5'!C8</f>
        <v>0</v>
      </c>
      <c r="E7" s="283">
        <f>'Phase 5'!C8</f>
        <v>0</v>
      </c>
    </row>
    <row r="8" spans="1:7" ht="22.15" customHeight="1">
      <c r="A8" s="163" t="str">
        <f>'Phase 2'!A8</f>
        <v>Recettes</v>
      </c>
      <c r="B8" s="163"/>
      <c r="C8" s="291" t="str">
        <f>TEXT('Phase 1'!D90,"#,##0;;@")&amp;" "&amp;TEXT(C6*C7,"#,##0;-0,000;@")</f>
        <v>0 0</v>
      </c>
      <c r="D8" s="169" t="str">
        <f>TEXT('Phase 1'!D90,"#,##0;;@")&amp;" "&amp;TEXT(D6*D7,"#,##0;-0,000;@")</f>
        <v>0 0</v>
      </c>
      <c r="E8" s="169" t="str">
        <f>TEXT('Phase 1'!D90,"#,##0;;@")&amp;" "&amp;TEXT(E6*E7,"#,##0;-0,000;@")</f>
        <v>0 0</v>
      </c>
    </row>
    <row r="9" spans="1:7" ht="22.15" customHeight="1">
      <c r="C9" s="292"/>
      <c r="D9" s="165"/>
      <c r="E9" s="165"/>
    </row>
    <row r="10" spans="1:7" ht="22.15" customHeight="1">
      <c r="A10" s="284" t="str">
        <f>'Phase 2'!A10</f>
        <v>Coût du produit de base (kg)</v>
      </c>
      <c r="C10" s="293" t="e">
        <f>'Phase 5'!C11</f>
        <v>#N/A</v>
      </c>
      <c r="D10" s="285" t="e">
        <f>(INDEX('Phase 0'!$B$42:$F$45,MATCH('Phase 0'!B44,'Phase 0'!$B$42:$B$45),MATCH('Phase 1'!D23,'Phase 0'!$B$42:$F$42)))*($D$6*(1+'Phase 1'!D19))</f>
        <v>#N/A</v>
      </c>
      <c r="E10" s="285" t="e">
        <f>(INDEX('Phase 0'!$B$42:$F$45,MATCH('Phase 0'!B45,'Phase 0'!$B$42:$B$45),MATCH('Phase 1'!D23,'Phase 0'!$B$42:$F$42)))*($E$6*(1+'Phase 1'!D19))</f>
        <v>#N/A</v>
      </c>
    </row>
    <row r="11" spans="1:7" ht="22.15" customHeight="1">
      <c r="A11" s="284">
        <f>'Phase 2'!A11</f>
        <v>0</v>
      </c>
      <c r="C11" s="293">
        <f>'Phase 5'!C12</f>
        <v>0</v>
      </c>
      <c r="D11" s="167">
        <f>C11</f>
        <v>0</v>
      </c>
      <c r="E11" s="286">
        <f>D11</f>
        <v>0</v>
      </c>
    </row>
    <row r="12" spans="1:7" ht="22.15" customHeight="1">
      <c r="A12" s="284">
        <f>'Phase 2'!A12</f>
        <v>0</v>
      </c>
      <c r="C12" s="293">
        <f>'Phase 5'!C13</f>
        <v>0</v>
      </c>
      <c r="D12" s="167">
        <f t="shared" ref="D12:E16" si="0">C12</f>
        <v>0</v>
      </c>
      <c r="E12" s="286">
        <f t="shared" si="0"/>
        <v>0</v>
      </c>
    </row>
    <row r="13" spans="1:7" ht="22.15" customHeight="1">
      <c r="A13" s="284">
        <f>'Phase 2'!A13</f>
        <v>0</v>
      </c>
      <c r="C13" s="293">
        <f>'Phase 5'!C14</f>
        <v>0</v>
      </c>
      <c r="D13" s="167">
        <f t="shared" si="0"/>
        <v>0</v>
      </c>
      <c r="E13" s="286">
        <f t="shared" si="0"/>
        <v>0</v>
      </c>
    </row>
    <row r="14" spans="1:7" ht="22.15" customHeight="1">
      <c r="A14" s="284">
        <f>'Phase 2'!A14</f>
        <v>0</v>
      </c>
      <c r="C14" s="293">
        <f>'Phase 5'!C15</f>
        <v>0</v>
      </c>
      <c r="D14" s="167">
        <f t="shared" si="0"/>
        <v>0</v>
      </c>
      <c r="E14" s="286">
        <f t="shared" si="0"/>
        <v>0</v>
      </c>
    </row>
    <row r="15" spans="1:7" ht="22.15" customHeight="1">
      <c r="A15" s="284">
        <f>'Phase 2'!A15</f>
        <v>0</v>
      </c>
      <c r="C15" s="293">
        <f>'Phase 5'!C16</f>
        <v>0</v>
      </c>
      <c r="D15" s="167">
        <f t="shared" si="0"/>
        <v>0</v>
      </c>
      <c r="E15" s="286">
        <f t="shared" si="0"/>
        <v>0</v>
      </c>
    </row>
    <row r="16" spans="1:7" ht="22.15" customHeight="1">
      <c r="A16" s="284">
        <f>'Phase 2'!A16</f>
        <v>0</v>
      </c>
      <c r="C16" s="293">
        <f>'Phase 5'!C17</f>
        <v>0</v>
      </c>
      <c r="D16" s="167">
        <f t="shared" si="0"/>
        <v>0</v>
      </c>
      <c r="E16" s="286">
        <f t="shared" si="0"/>
        <v>0</v>
      </c>
    </row>
    <row r="17" spans="1:5" ht="22.15" customHeight="1">
      <c r="A17" s="163" t="str">
        <f>'Phase 2'!A17</f>
        <v>Coût des marchandises vendues (CMV)</v>
      </c>
      <c r="B17" s="163"/>
      <c r="C17" s="291" t="e">
        <f>TEXT('Phase 1'!D90,"#,##0;;@")&amp;" "&amp;TEXT(SUM(C10:C16),"#,##0;-0,000;@")</f>
        <v>#N/A</v>
      </c>
      <c r="D17" s="169" t="e">
        <f>TEXT('Phase 1'!D90,"#,##0;;@")&amp;" "&amp;TEXT(SUM(D10:D16),"#,##0;-0,000;@")</f>
        <v>#N/A</v>
      </c>
      <c r="E17" s="287" t="e">
        <f>TEXT('Phase 1'!D90,"#,##0;;@")&amp;" "&amp;TEXT(SUM(E10:E16),"#,##0;-0,000;@")</f>
        <v>#N/A</v>
      </c>
    </row>
    <row r="18" spans="1:5" ht="22.15" customHeight="1">
      <c r="C18" s="292"/>
      <c r="D18" s="165"/>
      <c r="E18" s="165"/>
    </row>
    <row r="19" spans="1:5" ht="22.15" customHeight="1">
      <c r="A19" s="191" t="str">
        <f>'Phase 2'!A19</f>
        <v>Loyer</v>
      </c>
      <c r="C19" s="293">
        <f>'Phase 5'!C20</f>
        <v>0</v>
      </c>
      <c r="D19" s="170">
        <f>C19</f>
        <v>0</v>
      </c>
      <c r="E19" s="170">
        <f>D19</f>
        <v>0</v>
      </c>
    </row>
    <row r="20" spans="1:5" ht="22.15" customHeight="1">
      <c r="A20" s="191">
        <f>'Phase 2'!A20</f>
        <v>0</v>
      </c>
      <c r="C20" s="293">
        <f>'Phase 5'!C21</f>
        <v>0</v>
      </c>
      <c r="D20" s="170">
        <f t="shared" ref="D20:E27" si="1">C20</f>
        <v>0</v>
      </c>
      <c r="E20" s="170">
        <f t="shared" si="1"/>
        <v>0</v>
      </c>
    </row>
    <row r="21" spans="1:5" ht="22.15" customHeight="1">
      <c r="A21" s="191">
        <f>'Phase 2'!A21</f>
        <v>0</v>
      </c>
      <c r="C21" s="293">
        <f>'Phase 5'!C22</f>
        <v>0</v>
      </c>
      <c r="D21" s="170">
        <f t="shared" si="1"/>
        <v>0</v>
      </c>
      <c r="E21" s="170">
        <f t="shared" si="1"/>
        <v>0</v>
      </c>
    </row>
    <row r="22" spans="1:5" ht="22.15" customHeight="1">
      <c r="A22" s="191">
        <f>'Phase 2'!A22</f>
        <v>0</v>
      </c>
      <c r="C22" s="293">
        <f>'Phase 5'!C23</f>
        <v>0</v>
      </c>
      <c r="D22" s="170">
        <f t="shared" si="1"/>
        <v>0</v>
      </c>
      <c r="E22" s="170">
        <f t="shared" si="1"/>
        <v>0</v>
      </c>
    </row>
    <row r="23" spans="1:5" ht="22.15" customHeight="1">
      <c r="A23" s="191">
        <f>'Phase 2'!A23</f>
        <v>0</v>
      </c>
      <c r="C23" s="293">
        <f>'Phase 5'!C24</f>
        <v>0</v>
      </c>
      <c r="D23" s="170">
        <f t="shared" si="1"/>
        <v>0</v>
      </c>
      <c r="E23" s="170">
        <f t="shared" si="1"/>
        <v>0</v>
      </c>
    </row>
    <row r="24" spans="1:5" ht="22.15" customHeight="1">
      <c r="A24" s="191">
        <f>'Phase 2'!A24</f>
        <v>0</v>
      </c>
      <c r="C24" s="293">
        <f>'Phase 5'!C25</f>
        <v>0</v>
      </c>
      <c r="D24" s="170">
        <f t="shared" si="1"/>
        <v>0</v>
      </c>
      <c r="E24" s="170">
        <f t="shared" si="1"/>
        <v>0</v>
      </c>
    </row>
    <row r="25" spans="1:5" ht="22.15" customHeight="1">
      <c r="A25" s="191">
        <f>'Phase 2'!A25</f>
        <v>0</v>
      </c>
      <c r="C25" s="293">
        <f>'Phase 5'!C26</f>
        <v>0</v>
      </c>
      <c r="D25" s="170">
        <f t="shared" si="1"/>
        <v>0</v>
      </c>
      <c r="E25" s="170">
        <f t="shared" si="1"/>
        <v>0</v>
      </c>
    </row>
    <row r="26" spans="1:5" ht="22.15" customHeight="1">
      <c r="A26" s="191"/>
      <c r="C26" s="293">
        <f>'Phase 5'!C27</f>
        <v>0</v>
      </c>
      <c r="D26" s="170">
        <f t="shared" si="1"/>
        <v>0</v>
      </c>
      <c r="E26" s="170">
        <f t="shared" si="1"/>
        <v>0</v>
      </c>
    </row>
    <row r="27" spans="1:5" ht="22.15" customHeight="1">
      <c r="A27" s="191" t="str">
        <f>'Phase 2'!A27</f>
        <v>Salaire</v>
      </c>
      <c r="C27" s="293">
        <f>'Phase 5'!C28</f>
        <v>0</v>
      </c>
      <c r="D27" s="170">
        <f t="shared" si="1"/>
        <v>0</v>
      </c>
      <c r="E27" s="170">
        <f t="shared" si="1"/>
        <v>0</v>
      </c>
    </row>
    <row r="28" spans="1:5" ht="22.15" customHeight="1">
      <c r="A28" s="163" t="str">
        <f>'Phase 2'!A28</f>
        <v>Dépenses de fonctionnement</v>
      </c>
      <c r="B28" s="163"/>
      <c r="C28" s="291" t="str">
        <f>TEXT('Phase 1'!D90,"#,##0;;@")&amp;" "&amp;TEXT(SUM(C19:C27),"#,##0;-0,000;@")</f>
        <v>0 0</v>
      </c>
      <c r="D28" s="171" t="str">
        <f>TEXT('Phase 1'!D90,"#,##0;;@")&amp;" "&amp;TEXT(SUM(D19:D27),"#,##0;-0,000;@")</f>
        <v>0 0</v>
      </c>
      <c r="E28" s="171" t="str">
        <f>TEXT('Phase 1'!D90,"#,##0;;@")&amp;" "&amp;TEXT(SUM(E19:E27),"#,##0;-0,000;@")</f>
        <v>0 0</v>
      </c>
    </row>
    <row r="29" spans="1:5" ht="22.15" customHeight="1">
      <c r="C29" s="294"/>
      <c r="D29" s="172"/>
      <c r="E29" s="172"/>
    </row>
    <row r="30" spans="1:5" ht="22.15" customHeight="1">
      <c r="A30" s="191" t="str">
        <f>'Phase 2'!A30</f>
        <v>Capex 1</v>
      </c>
      <c r="C30" s="293" t="str">
        <f>'Phase 5'!C31</f>
        <v/>
      </c>
      <c r="D30" s="170" t="str">
        <f>C30</f>
        <v/>
      </c>
      <c r="E30" s="170" t="str">
        <f>D30</f>
        <v/>
      </c>
    </row>
    <row r="31" spans="1:5" ht="22.15" customHeight="1">
      <c r="A31" s="191" t="str">
        <f>'Phase 2'!A31</f>
        <v>Capex 2</v>
      </c>
      <c r="C31" s="293" t="str">
        <f>'Phase 5'!C32</f>
        <v/>
      </c>
      <c r="D31" s="170" t="str">
        <f t="shared" ref="D31:E33" si="2">C31</f>
        <v/>
      </c>
      <c r="E31" s="170" t="str">
        <f t="shared" si="2"/>
        <v/>
      </c>
    </row>
    <row r="32" spans="1:5" ht="22.15" customHeight="1">
      <c r="A32" s="191" t="str">
        <f>'Phase 2'!A32</f>
        <v>Capex 3</v>
      </c>
      <c r="C32" s="293" t="str">
        <f>'Phase 5'!C33</f>
        <v/>
      </c>
      <c r="D32" s="170" t="str">
        <f t="shared" si="2"/>
        <v/>
      </c>
      <c r="E32" s="170" t="str">
        <f t="shared" si="2"/>
        <v/>
      </c>
    </row>
    <row r="33" spans="1:5" ht="22.15" customHeight="1">
      <c r="A33" s="191" t="str">
        <f>'Phase 2'!A33</f>
        <v>Capex 4</v>
      </c>
      <c r="C33" s="293" t="str">
        <f>'Phase 5'!C34</f>
        <v/>
      </c>
      <c r="D33" s="170" t="str">
        <f t="shared" si="2"/>
        <v/>
      </c>
      <c r="E33" s="170" t="str">
        <f t="shared" si="2"/>
        <v/>
      </c>
    </row>
    <row r="34" spans="1:5" ht="22.15" customHeight="1">
      <c r="C34" s="295"/>
      <c r="D34" s="170"/>
      <c r="E34" s="170"/>
    </row>
    <row r="35" spans="1:5" ht="22.15" customHeight="1">
      <c r="A35" s="163" t="str">
        <f>'Phase 2'!A35</f>
        <v>Dépenses des biens d'équipement</v>
      </c>
      <c r="B35" s="288"/>
      <c r="C35" s="291" t="str">
        <f>TEXT('Phase 1'!D90,"#,##0;;@")&amp;" "&amp;TEXT(SUM(C30:C34),"#,##0;-0,000;@")</f>
        <v>0 0</v>
      </c>
      <c r="D35" s="171" t="str">
        <f>TEXT('Phase 1'!D90,"#,##0;;@")&amp;" "&amp;TEXT(SUM(D30:D34),"#,##0;-0,000;@")</f>
        <v>0 0</v>
      </c>
      <c r="E35" s="171" t="str">
        <f>TEXT('Phase 1'!D90,"#,##0;;@")&amp;" "&amp;TEXT(SUM(E30:E34),"#,##0;-0,000;@")</f>
        <v>0 0</v>
      </c>
    </row>
    <row r="36" spans="1:5" ht="22.15" customHeight="1">
      <c r="C36" s="294"/>
      <c r="D36" s="172"/>
      <c r="E36" s="172"/>
    </row>
    <row r="37" spans="1:5" ht="22.15" customHeight="1">
      <c r="A37" s="175" t="str">
        <f>'Phase 2'!A38</f>
        <v>Marge bénéficiaire brute</v>
      </c>
      <c r="B37" s="175"/>
      <c r="C37" s="293" t="e">
        <f>TEXT('Phase 1'!D90,"#,##0;;@")&amp;" "&amp;TEXT(SUM((C6*C7)-SUM(C10:C16)),"#,##0;-0,000;@")</f>
        <v>#N/A</v>
      </c>
      <c r="D37" s="176" t="e">
        <f>TEXT('Phase 1'!D90,"#,##0;;@")&amp;" "&amp;TEXT(SUM((D6*D7)-SUM(D10:D16)),"#,##0;-0,000;@")</f>
        <v>#N/A</v>
      </c>
      <c r="E37" s="176" t="e">
        <f>TEXT('Phase 1'!D90,"#,##0;;@")&amp;" "&amp;TEXT(SUM((E6*E7)-SUM(E10:E16)),"#,##0;-0,000;@")</f>
        <v>#N/A</v>
      </c>
    </row>
    <row r="38" spans="1:5" ht="22.15" customHeight="1">
      <c r="C38" s="292"/>
      <c r="D38" s="165"/>
      <c r="E38" s="165"/>
    </row>
    <row r="39" spans="1:5" ht="22.15" customHeight="1" thickBot="1">
      <c r="A39" s="178" t="str">
        <f>'Phase 2'!A40</f>
        <v>Marge bénéficiaire nette</v>
      </c>
      <c r="B39" s="178"/>
      <c r="C39" s="296" t="e">
        <f>TEXT('Phase 1'!D90,"#,##0;;@")&amp;" "&amp;TEXT((SUM(C6*C7)-SUM(C10:C16))-(SUM(C19:C27))-(SUM(C30:C33)),"#,##0;-0,000;@")</f>
        <v>#N/A</v>
      </c>
      <c r="D39" s="179" t="e">
        <f>TEXT('Phase 1'!D90,"#,##0;;@")&amp;" "&amp;TEXT((SUM(D6*D7)-SUM(D10:D16))-(SUM(D19:D27))-(SUM(D30:D33)),"#,##0;-0,000;@")</f>
        <v>#N/A</v>
      </c>
      <c r="E39" s="179" t="e">
        <f>TEXT('Phase 1'!D90,"#,##0;;@")&amp;" "&amp;TEXT((SUM(E6*E7)-SUM(E10:E16))-(SUM(E19:E27))-(SUM(E30:E33)),"#,##0;-0,000;@")</f>
        <v>#N/A</v>
      </c>
    </row>
    <row r="40" spans="1:5" ht="22.15" customHeight="1" thickTop="1">
      <c r="C40" s="292"/>
      <c r="D40" s="165"/>
      <c r="E40" s="165"/>
    </row>
    <row r="41" spans="1:5" ht="22.15" customHeight="1" thickBot="1">
      <c r="A41" s="181"/>
      <c r="B41" s="182"/>
      <c r="C41" s="297" t="e">
        <f>((SUM(C6*C7)-SUM(C10:C16))-(SUM(C19:C27))-(SUM(C30:C33)))/(C6*C7)</f>
        <v>#N/A</v>
      </c>
      <c r="D41" s="183" t="e">
        <f>((SUM(D6*D7)-SUM(D10:D16))-(SUM(D19:D27))-(SUM(D30:D33)))/(D6*D7)</f>
        <v>#N/A</v>
      </c>
      <c r="E41" s="183" t="e">
        <f>((SUM(E6*E7)-SUM(E10:E16))-(SUM(E19:E27))-(SUM(E30:E33)))/(E6*E7)</f>
        <v>#N/A</v>
      </c>
    </row>
  </sheetData>
  <sheetProtection selectLockedCells="1"/>
  <mergeCells count="2">
    <mergeCell ref="A2:G2"/>
    <mergeCell ref="A1:G1"/>
  </mergeCells>
  <conditionalFormatting sqref="C39:E39">
    <cfRule type="containsText" dxfId="0" priority="1" operator="containsText" text="-">
      <formula>NOT(ISERROR(SEARCH("-",C39)))</formula>
    </cfRule>
  </conditionalFormatting>
  <pageMargins left="0.7" right="0.7" top="0.75" bottom="0.75" header="0.3" footer="0.3"/>
  <pageSetup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63"/>
  <sheetViews>
    <sheetView topLeftCell="A20" zoomScale="110" zoomScaleNormal="110" workbookViewId="0">
      <selection activeCell="D42" sqref="D42"/>
    </sheetView>
  </sheetViews>
  <sheetFormatPr defaultColWidth="10.75" defaultRowHeight="15"/>
  <cols>
    <col min="1" max="1" width="19.25" style="14" customWidth="1"/>
    <col min="2" max="2" width="10.75" style="14" customWidth="1"/>
    <col min="3" max="8" width="15" style="14" bestFit="1" customWidth="1"/>
    <col min="9" max="10" width="11.25" style="14" customWidth="1"/>
    <col min="11" max="11" width="43.75" style="14" customWidth="1"/>
    <col min="12" max="12" width="10.75" style="14"/>
    <col min="13" max="13" width="21.75" style="14" customWidth="1"/>
    <col min="14" max="16384" width="10.75" style="14"/>
  </cols>
  <sheetData>
    <row r="1" spans="1:11" ht="48" customHeight="1">
      <c r="A1" s="89"/>
      <c r="B1" s="89"/>
      <c r="C1" s="378" t="s">
        <v>16</v>
      </c>
      <c r="D1" s="378"/>
      <c r="E1" s="378"/>
      <c r="F1" s="378"/>
      <c r="G1" s="378"/>
      <c r="H1" s="378"/>
      <c r="I1" s="48"/>
      <c r="J1" s="48"/>
      <c r="K1" s="48"/>
    </row>
    <row r="2" spans="1:11">
      <c r="A2" s="89"/>
      <c r="B2" s="89"/>
      <c r="C2" s="89"/>
      <c r="D2" s="89"/>
      <c r="E2" s="89"/>
      <c r="F2" s="89"/>
      <c r="G2" s="89"/>
      <c r="H2" s="89"/>
    </row>
    <row r="3" spans="1:11">
      <c r="A3" s="89"/>
      <c r="B3" s="89"/>
      <c r="C3" s="89"/>
      <c r="D3" s="89"/>
      <c r="E3" s="89"/>
      <c r="F3" s="89"/>
      <c r="G3" s="89"/>
      <c r="H3" s="89"/>
    </row>
    <row r="5" spans="1:11">
      <c r="A5" s="14" t="s">
        <v>32</v>
      </c>
      <c r="C5" s="100" t="e">
        <f>C41</f>
        <v>#REF!</v>
      </c>
      <c r="D5" s="77" t="e">
        <f t="shared" ref="D5:H5" si="0">D41</f>
        <v>#REF!</v>
      </c>
      <c r="E5" s="77" t="e">
        <f t="shared" si="0"/>
        <v>#REF!</v>
      </c>
      <c r="F5" s="77" t="e">
        <f t="shared" si="0"/>
        <v>#REF!</v>
      </c>
      <c r="G5" s="77" t="e">
        <f t="shared" si="0"/>
        <v>#REF!</v>
      </c>
      <c r="H5" s="77" t="e">
        <f t="shared" si="0"/>
        <v>#REF!</v>
      </c>
      <c r="I5" s="18"/>
      <c r="J5" s="18"/>
      <c r="K5" s="18"/>
    </row>
    <row r="6" spans="1:11">
      <c r="A6" s="14" t="s">
        <v>31</v>
      </c>
      <c r="C6" s="101" t="e">
        <f>C49</f>
        <v>#REF!</v>
      </c>
      <c r="D6" s="77" t="e">
        <f t="shared" ref="D6:H6" si="1">D49</f>
        <v>#N/A</v>
      </c>
      <c r="E6" s="77" t="e">
        <f t="shared" si="1"/>
        <v>#N/A</v>
      </c>
      <c r="F6" s="77" t="e">
        <f t="shared" si="1"/>
        <v>#N/A</v>
      </c>
      <c r="G6" s="77" t="e">
        <f t="shared" si="1"/>
        <v>#N/A</v>
      </c>
      <c r="H6" s="77" t="e">
        <f t="shared" si="1"/>
        <v>#N/A</v>
      </c>
      <c r="I6" s="18"/>
      <c r="J6" s="18"/>
      <c r="K6" s="18"/>
    </row>
    <row r="7" spans="1:11" ht="8.1" customHeight="1">
      <c r="C7" s="102"/>
      <c r="D7" s="78"/>
      <c r="E7" s="78"/>
      <c r="F7" s="78"/>
      <c r="G7" s="78"/>
      <c r="H7" s="78"/>
    </row>
    <row r="8" spans="1:11" ht="15.75">
      <c r="A8" s="20" t="s">
        <v>13</v>
      </c>
      <c r="B8" s="20"/>
      <c r="C8" s="103" t="e">
        <f>C41*C42</f>
        <v>#REF!</v>
      </c>
      <c r="D8" s="79" t="e">
        <f t="shared" ref="D8:H8" si="2">D41*D42</f>
        <v>#REF!</v>
      </c>
      <c r="E8" s="79" t="e">
        <f t="shared" si="2"/>
        <v>#REF!</v>
      </c>
      <c r="F8" s="79" t="e">
        <f t="shared" si="2"/>
        <v>#REF!</v>
      </c>
      <c r="G8" s="79" t="e">
        <f t="shared" si="2"/>
        <v>#REF!</v>
      </c>
      <c r="H8" s="79" t="e">
        <f t="shared" si="2"/>
        <v>#REF!</v>
      </c>
      <c r="I8" s="45"/>
      <c r="J8" s="45"/>
      <c r="K8" s="45"/>
    </row>
    <row r="9" spans="1:11">
      <c r="C9" s="102"/>
      <c r="D9" s="78"/>
      <c r="E9" s="78"/>
      <c r="F9" s="78"/>
      <c r="G9" s="78"/>
      <c r="H9" s="78"/>
    </row>
    <row r="10" spans="1:11">
      <c r="A10" s="14" t="s">
        <v>116</v>
      </c>
      <c r="C10" s="104" t="e">
        <f>C49*C41</f>
        <v>#REF!</v>
      </c>
      <c r="D10" s="80" t="e">
        <f t="shared" ref="D10:H10" si="3">D49*D41</f>
        <v>#N/A</v>
      </c>
      <c r="E10" s="80" t="e">
        <f t="shared" si="3"/>
        <v>#N/A</v>
      </c>
      <c r="F10" s="80" t="e">
        <f t="shared" si="3"/>
        <v>#N/A</v>
      </c>
      <c r="G10" s="80" t="e">
        <f t="shared" si="3"/>
        <v>#N/A</v>
      </c>
      <c r="H10" s="80" t="e">
        <f t="shared" si="3"/>
        <v>#N/A</v>
      </c>
      <c r="I10" s="19"/>
      <c r="J10" s="19"/>
      <c r="K10" s="19"/>
    </row>
    <row r="11" spans="1:11">
      <c r="A11" s="14" t="s">
        <v>19</v>
      </c>
      <c r="C11" s="104" t="e">
        <f t="shared" ref="C11:H11" si="4">C50*C41</f>
        <v>#REF!</v>
      </c>
      <c r="D11" s="80" t="e">
        <f t="shared" si="4"/>
        <v>#REF!</v>
      </c>
      <c r="E11" s="80" t="e">
        <f t="shared" si="4"/>
        <v>#REF!</v>
      </c>
      <c r="F11" s="80" t="e">
        <f t="shared" si="4"/>
        <v>#REF!</v>
      </c>
      <c r="G11" s="80" t="e">
        <f t="shared" si="4"/>
        <v>#REF!</v>
      </c>
      <c r="H11" s="80" t="e">
        <f t="shared" si="4"/>
        <v>#REF!</v>
      </c>
      <c r="I11" s="19"/>
      <c r="J11" s="19"/>
      <c r="K11" s="19"/>
    </row>
    <row r="12" spans="1:11">
      <c r="A12" s="14" t="s">
        <v>25</v>
      </c>
      <c r="C12" s="104" t="e">
        <f>C41*C51</f>
        <v>#REF!</v>
      </c>
      <c r="D12" s="80" t="e">
        <f t="shared" ref="D12:H12" si="5">D41*D51</f>
        <v>#REF!</v>
      </c>
      <c r="E12" s="80" t="e">
        <f t="shared" si="5"/>
        <v>#REF!</v>
      </c>
      <c r="F12" s="80" t="e">
        <f t="shared" si="5"/>
        <v>#REF!</v>
      </c>
      <c r="G12" s="80" t="e">
        <f t="shared" si="5"/>
        <v>#REF!</v>
      </c>
      <c r="H12" s="80" t="e">
        <f t="shared" si="5"/>
        <v>#REF!</v>
      </c>
      <c r="I12" s="19"/>
      <c r="J12" s="19"/>
      <c r="K12" s="19"/>
    </row>
    <row r="13" spans="1:11">
      <c r="A13" s="14" t="s">
        <v>20</v>
      </c>
      <c r="C13" s="104"/>
      <c r="D13" s="80"/>
      <c r="E13" s="80"/>
      <c r="F13" s="80"/>
      <c r="G13" s="80"/>
      <c r="H13" s="80"/>
    </row>
    <row r="14" spans="1:11">
      <c r="A14" s="14" t="s">
        <v>21</v>
      </c>
      <c r="C14" s="105" t="e">
        <f>SUM(C10:C13)*0.1</f>
        <v>#REF!</v>
      </c>
      <c r="D14" s="81" t="e">
        <f t="shared" ref="D14:H14" si="6">SUM(D10:D13)*0.1</f>
        <v>#N/A</v>
      </c>
      <c r="E14" s="81" t="e">
        <f t="shared" si="6"/>
        <v>#N/A</v>
      </c>
      <c r="F14" s="81" t="e">
        <f t="shared" si="6"/>
        <v>#N/A</v>
      </c>
      <c r="G14" s="81" t="e">
        <f t="shared" si="6"/>
        <v>#N/A</v>
      </c>
      <c r="H14" s="81" t="e">
        <f t="shared" si="6"/>
        <v>#N/A</v>
      </c>
      <c r="I14" s="19"/>
      <c r="J14" s="19"/>
      <c r="K14" s="19"/>
    </row>
    <row r="15" spans="1:11" ht="8.1" customHeight="1">
      <c r="C15" s="102"/>
      <c r="D15" s="78"/>
      <c r="E15" s="78"/>
      <c r="F15" s="78"/>
      <c r="G15" s="78"/>
      <c r="H15" s="78"/>
    </row>
    <row r="16" spans="1:11" ht="15.75">
      <c r="A16" s="20" t="s">
        <v>76</v>
      </c>
      <c r="B16" s="20"/>
      <c r="C16" s="103" t="e">
        <f>SUM(C10:C15)</f>
        <v>#REF!</v>
      </c>
      <c r="D16" s="79" t="e">
        <f t="shared" ref="D16:H16" si="7">SUM(D10:D15)</f>
        <v>#N/A</v>
      </c>
      <c r="E16" s="79" t="e">
        <f t="shared" si="7"/>
        <v>#N/A</v>
      </c>
      <c r="F16" s="79" t="e">
        <f t="shared" si="7"/>
        <v>#N/A</v>
      </c>
      <c r="G16" s="79" t="e">
        <f t="shared" si="7"/>
        <v>#N/A</v>
      </c>
      <c r="H16" s="79" t="e">
        <f t="shared" si="7"/>
        <v>#N/A</v>
      </c>
      <c r="I16" s="45"/>
      <c r="J16" s="45"/>
      <c r="K16" s="45"/>
    </row>
    <row r="17" spans="1:11">
      <c r="C17" s="102"/>
      <c r="D17" s="78"/>
      <c r="E17" s="78"/>
      <c r="F17" s="78"/>
      <c r="G17" s="78"/>
      <c r="H17" s="78"/>
    </row>
    <row r="18" spans="1:11">
      <c r="A18" s="14" t="s">
        <v>68</v>
      </c>
      <c r="C18" s="104" t="e">
        <f>C55*12</f>
        <v>#REF!</v>
      </c>
      <c r="D18" s="80">
        <f t="shared" ref="D18:H19" si="8">D55*12</f>
        <v>30000</v>
      </c>
      <c r="E18" s="80">
        <f t="shared" si="8"/>
        <v>30000</v>
      </c>
      <c r="F18" s="80">
        <f t="shared" si="8"/>
        <v>30000</v>
      </c>
      <c r="G18" s="80">
        <f t="shared" si="8"/>
        <v>30000</v>
      </c>
      <c r="H18" s="80">
        <f t="shared" si="8"/>
        <v>30000</v>
      </c>
      <c r="I18" s="19"/>
      <c r="J18" s="19"/>
      <c r="K18" s="19"/>
    </row>
    <row r="19" spans="1:11">
      <c r="A19" s="14" t="s">
        <v>23</v>
      </c>
      <c r="C19" s="104" t="e">
        <f>C56*12</f>
        <v>#REF!</v>
      </c>
      <c r="D19" s="80">
        <f t="shared" si="8"/>
        <v>60000</v>
      </c>
      <c r="E19" s="80">
        <f t="shared" si="8"/>
        <v>60000</v>
      </c>
      <c r="F19" s="80">
        <f t="shared" si="8"/>
        <v>60000</v>
      </c>
      <c r="G19" s="80">
        <f t="shared" si="8"/>
        <v>60000</v>
      </c>
      <c r="H19" s="80">
        <f t="shared" si="8"/>
        <v>60000</v>
      </c>
      <c r="I19" s="19"/>
      <c r="J19" s="19"/>
      <c r="K19" s="19"/>
    </row>
    <row r="20" spans="1:11">
      <c r="A20" s="14" t="s">
        <v>11</v>
      </c>
      <c r="C20" s="104" t="e">
        <f>C61*12</f>
        <v>#REF!</v>
      </c>
      <c r="D20" s="80">
        <f t="shared" ref="D20:H20" si="9">D61*12</f>
        <v>432000</v>
      </c>
      <c r="E20" s="80">
        <f t="shared" si="9"/>
        <v>432000</v>
      </c>
      <c r="F20" s="80">
        <f t="shared" si="9"/>
        <v>432000</v>
      </c>
      <c r="G20" s="80">
        <f t="shared" si="9"/>
        <v>432000</v>
      </c>
      <c r="H20" s="80">
        <f t="shared" si="9"/>
        <v>432000</v>
      </c>
      <c r="I20" s="19"/>
      <c r="J20" s="19"/>
      <c r="K20" s="19"/>
    </row>
    <row r="21" spans="1:11">
      <c r="A21" s="14" t="s">
        <v>24</v>
      </c>
      <c r="C21" s="104"/>
      <c r="D21" s="80"/>
      <c r="E21" s="80"/>
      <c r="F21" s="80"/>
      <c r="G21" s="80"/>
      <c r="H21" s="80"/>
    </row>
    <row r="22" spans="1:11">
      <c r="C22" s="104"/>
      <c r="D22" s="80"/>
      <c r="E22" s="80"/>
      <c r="F22" s="80"/>
      <c r="G22" s="80"/>
      <c r="H22" s="80"/>
    </row>
    <row r="23" spans="1:11" ht="8.1" customHeight="1">
      <c r="C23" s="102"/>
      <c r="D23" s="78"/>
      <c r="E23" s="78"/>
      <c r="F23" s="78"/>
      <c r="G23" s="78"/>
      <c r="H23" s="78"/>
    </row>
    <row r="24" spans="1:11" ht="15.75">
      <c r="A24" s="20" t="s">
        <v>22</v>
      </c>
      <c r="B24" s="20"/>
      <c r="C24" s="103" t="e">
        <f>SUM(C18:C23)</f>
        <v>#REF!</v>
      </c>
      <c r="D24" s="79">
        <f t="shared" ref="D24:H24" si="10">SUM(D18:D23)</f>
        <v>522000</v>
      </c>
      <c r="E24" s="79">
        <f t="shared" si="10"/>
        <v>522000</v>
      </c>
      <c r="F24" s="79">
        <f t="shared" si="10"/>
        <v>522000</v>
      </c>
      <c r="G24" s="79">
        <f t="shared" si="10"/>
        <v>522000</v>
      </c>
      <c r="H24" s="79">
        <f t="shared" si="10"/>
        <v>522000</v>
      </c>
      <c r="I24" s="45"/>
      <c r="J24" s="45"/>
      <c r="K24" s="45"/>
    </row>
    <row r="25" spans="1:11">
      <c r="C25" s="106" t="e">
        <f>C24/C16</f>
        <v>#REF!</v>
      </c>
      <c r="D25" s="84" t="e">
        <f t="shared" ref="D25:H25" si="11">D24/D16</f>
        <v>#N/A</v>
      </c>
      <c r="E25" s="84" t="e">
        <f t="shared" si="11"/>
        <v>#N/A</v>
      </c>
      <c r="F25" s="84" t="e">
        <f t="shared" si="11"/>
        <v>#N/A</v>
      </c>
      <c r="G25" s="84" t="e">
        <f t="shared" si="11"/>
        <v>#N/A</v>
      </c>
      <c r="H25" s="84" t="e">
        <f t="shared" si="11"/>
        <v>#N/A</v>
      </c>
    </row>
    <row r="26" spans="1:11">
      <c r="C26" s="102"/>
      <c r="D26" s="78"/>
      <c r="E26" s="78"/>
      <c r="F26" s="78"/>
      <c r="G26" s="78"/>
      <c r="H26" s="78"/>
    </row>
    <row r="27" spans="1:11">
      <c r="A27" s="87" t="s">
        <v>8</v>
      </c>
      <c r="B27" s="36"/>
      <c r="C27" s="107" t="e">
        <f>C8-C16</f>
        <v>#REF!</v>
      </c>
      <c r="D27" s="88" t="e">
        <f t="shared" ref="D27:H27" si="12">D8-D16</f>
        <v>#REF!</v>
      </c>
      <c r="E27" s="88" t="e">
        <f t="shared" si="12"/>
        <v>#REF!</v>
      </c>
      <c r="F27" s="88" t="e">
        <f t="shared" si="12"/>
        <v>#REF!</v>
      </c>
      <c r="G27" s="88" t="e">
        <f t="shared" si="12"/>
        <v>#REF!</v>
      </c>
      <c r="H27" s="88" t="e">
        <f t="shared" si="12"/>
        <v>#REF!</v>
      </c>
      <c r="I27" s="46"/>
      <c r="J27" s="46"/>
      <c r="K27" s="46"/>
    </row>
    <row r="28" spans="1:11">
      <c r="A28" s="66"/>
      <c r="B28" s="66"/>
      <c r="C28" s="108" t="e">
        <f>C27/C8</f>
        <v>#REF!</v>
      </c>
      <c r="D28" s="82" t="e">
        <f t="shared" ref="D28:H28" si="13">D27/D8</f>
        <v>#REF!</v>
      </c>
      <c r="E28" s="82" t="e">
        <f t="shared" si="13"/>
        <v>#REF!</v>
      </c>
      <c r="F28" s="82" t="e">
        <f t="shared" si="13"/>
        <v>#REF!</v>
      </c>
      <c r="G28" s="82" t="e">
        <f t="shared" si="13"/>
        <v>#REF!</v>
      </c>
      <c r="H28" s="82" t="e">
        <f t="shared" si="13"/>
        <v>#REF!</v>
      </c>
      <c r="I28" s="46"/>
      <c r="J28" s="46"/>
      <c r="K28" s="46"/>
    </row>
    <row r="29" spans="1:11">
      <c r="C29" s="102"/>
      <c r="D29" s="78"/>
      <c r="E29" s="78"/>
      <c r="F29" s="78"/>
      <c r="G29" s="78"/>
      <c r="H29" s="78"/>
    </row>
    <row r="30" spans="1:11" ht="16.5" thickBot="1">
      <c r="A30" s="27" t="s">
        <v>7</v>
      </c>
      <c r="B30" s="27"/>
      <c r="C30" s="109" t="e">
        <f>C27-C24</f>
        <v>#REF!</v>
      </c>
      <c r="D30" s="83" t="e">
        <f t="shared" ref="D30:H30" si="14">D27-D24</f>
        <v>#REF!</v>
      </c>
      <c r="E30" s="83" t="e">
        <f t="shared" si="14"/>
        <v>#REF!</v>
      </c>
      <c r="F30" s="83" t="e">
        <f t="shared" si="14"/>
        <v>#REF!</v>
      </c>
      <c r="G30" s="83" t="e">
        <f t="shared" si="14"/>
        <v>#REF!</v>
      </c>
      <c r="H30" s="83" t="e">
        <f t="shared" si="14"/>
        <v>#REF!</v>
      </c>
      <c r="I30" s="47"/>
      <c r="J30" s="47"/>
      <c r="K30" s="47"/>
    </row>
    <row r="31" spans="1:11" ht="15.75" thickTop="1">
      <c r="C31" s="102"/>
      <c r="D31" s="78"/>
      <c r="E31" s="78"/>
      <c r="F31" s="78"/>
      <c r="G31" s="78"/>
      <c r="H31" s="78"/>
    </row>
    <row r="32" spans="1:11" ht="15.75">
      <c r="A32" s="86" t="s">
        <v>6</v>
      </c>
      <c r="B32" s="16"/>
      <c r="C32" s="110" t="e">
        <f>C30/C8</f>
        <v>#REF!</v>
      </c>
      <c r="D32" s="38" t="e">
        <f t="shared" ref="D32:H32" si="15">D30/D8</f>
        <v>#REF!</v>
      </c>
      <c r="E32" s="38" t="e">
        <f t="shared" si="15"/>
        <v>#REF!</v>
      </c>
      <c r="F32" s="38" t="e">
        <f t="shared" si="15"/>
        <v>#REF!</v>
      </c>
      <c r="G32" s="38" t="e">
        <f t="shared" si="15"/>
        <v>#REF!</v>
      </c>
      <c r="H32" s="38" t="e">
        <f t="shared" si="15"/>
        <v>#REF!</v>
      </c>
      <c r="I32" s="38"/>
      <c r="J32" s="38"/>
      <c r="K32" s="38"/>
    </row>
    <row r="36" spans="1:13" ht="49.15" customHeight="1">
      <c r="A36" s="15"/>
      <c r="B36" s="15"/>
      <c r="C36" s="379" t="s">
        <v>17</v>
      </c>
      <c r="D36" s="379"/>
      <c r="E36" s="379"/>
      <c r="F36" s="379"/>
      <c r="G36" s="379"/>
      <c r="H36" s="379"/>
      <c r="I36" s="48"/>
      <c r="J36" s="52" t="s">
        <v>44</v>
      </c>
      <c r="K36" s="52"/>
    </row>
    <row r="37" spans="1:13" ht="15.75">
      <c r="A37" s="15"/>
      <c r="B37" s="15"/>
      <c r="C37" s="15"/>
      <c r="D37" s="15"/>
      <c r="E37" s="15"/>
      <c r="F37" s="15"/>
      <c r="G37" s="15"/>
      <c r="H37" s="15"/>
      <c r="J37" s="59">
        <v>1</v>
      </c>
      <c r="K37" s="16" t="s">
        <v>13</v>
      </c>
    </row>
    <row r="38" spans="1:13" ht="15.75">
      <c r="A38" s="15"/>
      <c r="B38" s="15"/>
      <c r="C38" s="15"/>
      <c r="D38" s="15"/>
      <c r="E38" s="15"/>
      <c r="F38" s="15"/>
      <c r="G38" s="15"/>
      <c r="H38" s="15"/>
      <c r="J38" s="59">
        <v>2</v>
      </c>
      <c r="K38" s="58" t="s">
        <v>32</v>
      </c>
    </row>
    <row r="39" spans="1:13" ht="15.75">
      <c r="C39" s="17"/>
      <c r="D39" s="17"/>
      <c r="E39" s="17"/>
      <c r="F39" s="17"/>
      <c r="G39" s="17"/>
      <c r="H39" s="17"/>
      <c r="I39" s="17"/>
      <c r="J39" s="60">
        <v>3</v>
      </c>
      <c r="K39" s="65" t="s">
        <v>31</v>
      </c>
    </row>
    <row r="40" spans="1:13" ht="15.75">
      <c r="A40" s="16" t="s">
        <v>13</v>
      </c>
      <c r="C40" s="17"/>
      <c r="D40" s="17"/>
      <c r="E40" s="17"/>
      <c r="F40" s="17"/>
      <c r="G40" s="17"/>
      <c r="H40" s="17"/>
      <c r="I40" s="17"/>
      <c r="J40" s="60"/>
      <c r="K40" s="65"/>
    </row>
    <row r="41" spans="1:13" ht="16.5" thickBot="1">
      <c r="A41" s="21" t="s">
        <v>84</v>
      </c>
      <c r="B41" s="113"/>
      <c r="C41" s="90" t="e">
        <f>'Phase 2'!#REF!</f>
        <v>#REF!</v>
      </c>
      <c r="D41" s="112" t="e">
        <f>'Phase 4'!#REF!</f>
        <v>#REF!</v>
      </c>
      <c r="E41" s="112" t="e">
        <f>'Phase 4'!#REF!</f>
        <v>#REF!</v>
      </c>
      <c r="F41" s="112" t="e">
        <f>'Phase 4'!#REF!</f>
        <v>#REF!</v>
      </c>
      <c r="G41" s="112" t="e">
        <f>'Phase 4'!#REF!</f>
        <v>#REF!</v>
      </c>
      <c r="H41" s="112" t="e">
        <f>'Phase 4'!#REF!</f>
        <v>#REF!</v>
      </c>
      <c r="I41" s="40"/>
      <c r="J41" s="59">
        <v>4</v>
      </c>
      <c r="K41" s="14" t="s">
        <v>48</v>
      </c>
      <c r="M41" s="16"/>
    </row>
    <row r="42" spans="1:13" ht="16.5" thickBot="1">
      <c r="A42" s="69" t="s">
        <v>58</v>
      </c>
      <c r="B42" s="115">
        <v>0.05</v>
      </c>
      <c r="C42" s="117" t="e">
        <f>'Phase 2'!#REF!</f>
        <v>#REF!</v>
      </c>
      <c r="D42" s="111" t="e">
        <f>C42+($C$42*$B$42)</f>
        <v>#REF!</v>
      </c>
      <c r="E42" s="111" t="e">
        <f>D42+($C$42*$B$42)</f>
        <v>#REF!</v>
      </c>
      <c r="F42" s="111" t="e">
        <f>E42+($C$42*$B$42)</f>
        <v>#REF!</v>
      </c>
      <c r="G42" s="111" t="e">
        <f>F42+($C$42*$B$42)</f>
        <v>#REF!</v>
      </c>
      <c r="H42" s="111" t="e">
        <f>G42+($C$42*$B$42)</f>
        <v>#REF!</v>
      </c>
      <c r="I42" s="49"/>
      <c r="J42" s="59">
        <v>5</v>
      </c>
      <c r="M42" s="16"/>
    </row>
    <row r="43" spans="1:13" ht="15.75">
      <c r="A43" s="21"/>
      <c r="B43" s="21"/>
      <c r="C43" s="92"/>
      <c r="D43" s="23"/>
      <c r="E43" s="23"/>
      <c r="F43" s="23"/>
      <c r="G43" s="23"/>
      <c r="H43" s="23"/>
      <c r="I43" s="23"/>
      <c r="J43" s="60">
        <v>6</v>
      </c>
      <c r="K43" s="16" t="s">
        <v>47</v>
      </c>
      <c r="M43" s="16"/>
    </row>
    <row r="44" spans="1:13" ht="15.75">
      <c r="A44" s="14" t="s">
        <v>116</v>
      </c>
      <c r="B44" s="50">
        <v>1</v>
      </c>
      <c r="C44" s="116" t="e">
        <f>'Phase 2'!#REF!</f>
        <v>#REF!</v>
      </c>
      <c r="D44" s="114">
        <f t="shared" ref="D44:H44" si="16">$B$44</f>
        <v>1</v>
      </c>
      <c r="E44" s="114">
        <f t="shared" si="16"/>
        <v>1</v>
      </c>
      <c r="F44" s="114">
        <f t="shared" si="16"/>
        <v>1</v>
      </c>
      <c r="G44" s="114">
        <f t="shared" si="16"/>
        <v>1</v>
      </c>
      <c r="H44" s="114">
        <f t="shared" si="16"/>
        <v>1</v>
      </c>
      <c r="I44" s="50"/>
      <c r="J44" s="59">
        <v>7</v>
      </c>
      <c r="K44" s="14" t="s">
        <v>76</v>
      </c>
      <c r="M44" s="16"/>
    </row>
    <row r="45" spans="1:13" ht="8.1" customHeight="1">
      <c r="B45" s="21"/>
      <c r="C45" s="93"/>
      <c r="D45" s="25"/>
      <c r="E45" s="25"/>
      <c r="F45" s="25"/>
      <c r="G45" s="25"/>
      <c r="H45" s="25"/>
      <c r="I45" s="25"/>
      <c r="J45" s="61"/>
      <c r="M45" s="16"/>
    </row>
    <row r="46" spans="1:13" ht="15.75">
      <c r="A46" s="14" t="s">
        <v>26</v>
      </c>
      <c r="B46" s="50" t="s">
        <v>161</v>
      </c>
      <c r="C46" s="116" t="e">
        <f>'Phase 2'!#REF!</f>
        <v>#REF!</v>
      </c>
      <c r="D46" s="114" t="str">
        <f t="shared" ref="D46:H46" si="17">$B$46</f>
        <v>Élevée</v>
      </c>
      <c r="E46" s="114" t="str">
        <f t="shared" si="17"/>
        <v>Élevée</v>
      </c>
      <c r="F46" s="114" t="str">
        <f t="shared" si="17"/>
        <v>Élevée</v>
      </c>
      <c r="G46" s="114" t="str">
        <f t="shared" si="17"/>
        <v>Élevée</v>
      </c>
      <c r="H46" s="114" t="str">
        <f t="shared" si="17"/>
        <v>Élevée</v>
      </c>
      <c r="I46" s="50"/>
      <c r="J46" s="50"/>
      <c r="K46" s="21" t="s">
        <v>45</v>
      </c>
    </row>
    <row r="47" spans="1:13" ht="15.75">
      <c r="A47" s="21"/>
      <c r="B47" s="21"/>
      <c r="C47" s="94"/>
      <c r="D47" s="17"/>
      <c r="E47" s="17"/>
      <c r="F47" s="17"/>
      <c r="G47" s="17"/>
      <c r="H47" s="17"/>
      <c r="I47" s="17"/>
      <c r="J47" s="62"/>
      <c r="K47" s="21" t="s">
        <v>46</v>
      </c>
    </row>
    <row r="48" spans="1:13" ht="15.75">
      <c r="A48" s="16" t="s">
        <v>76</v>
      </c>
      <c r="C48" s="95"/>
      <c r="D48" s="26"/>
      <c r="E48" s="26"/>
      <c r="F48" s="26"/>
      <c r="G48" s="26"/>
      <c r="H48" s="26"/>
      <c r="I48" s="26"/>
      <c r="J48" s="63"/>
      <c r="K48" s="24"/>
    </row>
    <row r="49" spans="1:22" ht="15.75">
      <c r="A49" s="21" t="s">
        <v>42</v>
      </c>
      <c r="B49" s="21"/>
      <c r="C49" s="91" t="e">
        <f>'Phase 2'!#REF!</f>
        <v>#REF!</v>
      </c>
      <c r="D49" s="68" t="e">
        <f>INDEX('Phase 0'!$B$42:$F$45,MATCH('(Prix)'!D46,'Phase 0'!$B$42:$B$45),MATCH('(Prix)'!D44,'Phase 0'!$B$42:$F$42))</f>
        <v>#N/A</v>
      </c>
      <c r="E49" s="68" t="e">
        <f>INDEX('Phase 0'!$B$42:$F$45,MATCH('(Prix)'!E46,'Phase 0'!$B$42:$B$45),MATCH('(Prix)'!E44,'Phase 0'!$B$42:$F$42))</f>
        <v>#N/A</v>
      </c>
      <c r="F49" s="68" t="e">
        <f>INDEX('Phase 0'!$B$42:$F$45,MATCH('(Prix)'!F46,'Phase 0'!$B$42:$B$45),MATCH('(Prix)'!F44,'Phase 0'!$B$42:$F$42))</f>
        <v>#N/A</v>
      </c>
      <c r="G49" s="68" t="e">
        <f>INDEX('Phase 0'!$B$42:$F$45,MATCH('(Prix)'!G46,'Phase 0'!$B$42:$B$45),MATCH('(Prix)'!G44,'Phase 0'!$B$42:$F$42))</f>
        <v>#N/A</v>
      </c>
      <c r="H49" s="68" t="e">
        <f>INDEX('Phase 0'!$B$42:$F$45,MATCH('(Prix)'!H46,'Phase 0'!$B$42:$B$45),MATCH('(Prix)'!H44,'Phase 0'!$B$42:$F$42))</f>
        <v>#N/A</v>
      </c>
      <c r="I49" s="51"/>
      <c r="J49" s="64"/>
      <c r="K49" s="53" t="s">
        <v>49</v>
      </c>
      <c r="M49" s="16"/>
    </row>
    <row r="50" spans="1:22" ht="15.75">
      <c r="A50" s="21" t="s">
        <v>59</v>
      </c>
      <c r="C50" s="96" t="e">
        <f>'Phase 2'!#REF!</f>
        <v>#REF!</v>
      </c>
      <c r="D50" s="22">
        <v>50</v>
      </c>
      <c r="E50" s="22">
        <v>50</v>
      </c>
      <c r="F50" s="22">
        <v>50</v>
      </c>
      <c r="G50" s="22">
        <v>50</v>
      </c>
      <c r="H50" s="22">
        <v>50</v>
      </c>
      <c r="I50" s="44"/>
      <c r="J50" s="54"/>
      <c r="K50" s="72" t="s">
        <v>50</v>
      </c>
      <c r="M50" s="16"/>
      <c r="R50" s="380"/>
      <c r="S50" s="380"/>
      <c r="T50" s="380"/>
      <c r="U50" s="380"/>
      <c r="V50" s="380"/>
    </row>
    <row r="51" spans="1:22" ht="15.75">
      <c r="A51" s="21" t="s">
        <v>60</v>
      </c>
      <c r="C51" s="96" t="e">
        <f>'Phase 2'!#REF!</f>
        <v>#REF!</v>
      </c>
      <c r="D51" s="22">
        <v>50</v>
      </c>
      <c r="E51" s="22">
        <v>50</v>
      </c>
      <c r="F51" s="22">
        <v>50</v>
      </c>
      <c r="G51" s="22">
        <v>50</v>
      </c>
      <c r="H51" s="22">
        <v>50</v>
      </c>
      <c r="I51" s="44"/>
      <c r="J51" s="54"/>
      <c r="K51" s="71" t="s">
        <v>18</v>
      </c>
      <c r="M51" s="16"/>
      <c r="R51" s="85"/>
      <c r="S51" s="85"/>
      <c r="T51" s="85"/>
      <c r="U51" s="85"/>
      <c r="V51" s="85"/>
    </row>
    <row r="52" spans="1:22" ht="15.75">
      <c r="A52" s="69"/>
      <c r="B52" s="69"/>
      <c r="C52" s="97"/>
      <c r="D52" s="70"/>
      <c r="E52" s="70"/>
      <c r="F52" s="70"/>
      <c r="G52" s="70"/>
      <c r="H52" s="70"/>
      <c r="I52" s="44"/>
      <c r="J52" s="54"/>
      <c r="K52" s="73" t="s">
        <v>54</v>
      </c>
      <c r="M52" s="16"/>
      <c r="R52" s="85"/>
      <c r="S52" s="85"/>
      <c r="T52" s="85"/>
      <c r="U52" s="85"/>
      <c r="V52" s="85"/>
    </row>
    <row r="53" spans="1:22" ht="15.75">
      <c r="C53" s="98"/>
      <c r="D53" s="67"/>
      <c r="E53" s="67"/>
      <c r="F53" s="67"/>
      <c r="G53" s="67"/>
      <c r="H53" s="67"/>
      <c r="I53" s="44"/>
      <c r="J53" s="54"/>
      <c r="K53" s="71" t="s">
        <v>55</v>
      </c>
      <c r="M53" s="16"/>
      <c r="R53" s="85"/>
      <c r="S53" s="85"/>
      <c r="T53" s="85"/>
      <c r="U53" s="85"/>
      <c r="V53" s="85"/>
    </row>
    <row r="54" spans="1:22" ht="15.75">
      <c r="A54" s="16" t="s">
        <v>61</v>
      </c>
      <c r="C54" s="98"/>
      <c r="D54" s="67"/>
      <c r="E54" s="67"/>
      <c r="F54" s="67"/>
      <c r="G54" s="67"/>
      <c r="H54" s="67"/>
      <c r="I54" s="44"/>
      <c r="J54" s="54"/>
      <c r="K54" s="74" t="s">
        <v>53</v>
      </c>
      <c r="M54" s="16"/>
      <c r="R54" s="85"/>
      <c r="S54" s="85"/>
      <c r="T54" s="85"/>
      <c r="U54" s="85"/>
      <c r="V54" s="85"/>
    </row>
    <row r="55" spans="1:22" ht="15.75">
      <c r="A55" s="21" t="s">
        <v>56</v>
      </c>
      <c r="C55" s="96" t="e">
        <f>'Phase 2'!#REF!</f>
        <v>#REF!</v>
      </c>
      <c r="D55" s="22">
        <v>2500</v>
      </c>
      <c r="E55" s="22">
        <v>2500</v>
      </c>
      <c r="F55" s="22">
        <v>2500</v>
      </c>
      <c r="G55" s="22">
        <v>2500</v>
      </c>
      <c r="H55" s="22">
        <v>2500</v>
      </c>
      <c r="I55" s="17"/>
      <c r="J55" s="55"/>
    </row>
    <row r="56" spans="1:22" ht="15.75">
      <c r="A56" s="21" t="s">
        <v>57</v>
      </c>
      <c r="C56" s="96" t="e">
        <f>'Phase 2'!#REF!</f>
        <v>#REF!</v>
      </c>
      <c r="D56" s="22">
        <v>5000</v>
      </c>
      <c r="E56" s="22">
        <v>5000</v>
      </c>
      <c r="F56" s="22">
        <v>5000</v>
      </c>
      <c r="G56" s="22">
        <v>5000</v>
      </c>
      <c r="H56" s="22">
        <v>5000</v>
      </c>
      <c r="I56" s="37"/>
      <c r="J56" s="56"/>
      <c r="K56" s="76" t="s">
        <v>51</v>
      </c>
    </row>
    <row r="57" spans="1:22" ht="15.75">
      <c r="C57" s="96"/>
      <c r="D57" s="22"/>
      <c r="E57" s="22"/>
      <c r="F57" s="22"/>
      <c r="G57" s="22"/>
      <c r="H57" s="22"/>
      <c r="I57" s="23"/>
      <c r="J57" s="57"/>
      <c r="K57" s="71" t="s">
        <v>18</v>
      </c>
    </row>
    <row r="58" spans="1:22">
      <c r="A58" s="71" t="s">
        <v>65</v>
      </c>
      <c r="C58" s="96" t="e">
        <f>'Phase 2'!#REF!</f>
        <v>#REF!</v>
      </c>
      <c r="D58" s="22">
        <v>12000</v>
      </c>
      <c r="E58" s="22">
        <v>12000</v>
      </c>
      <c r="F58" s="22">
        <v>12000</v>
      </c>
      <c r="G58" s="22">
        <v>12000</v>
      </c>
      <c r="H58" s="22">
        <v>12000</v>
      </c>
      <c r="I58" s="23"/>
      <c r="J58" s="23"/>
      <c r="K58" s="75" t="s">
        <v>52</v>
      </c>
    </row>
    <row r="59" spans="1:22">
      <c r="A59" s="71" t="s">
        <v>63</v>
      </c>
      <c r="C59" s="96" t="e">
        <f>'Phase 2'!#REF!</f>
        <v>#REF!</v>
      </c>
      <c r="D59" s="22">
        <v>24000</v>
      </c>
      <c r="E59" s="22">
        <v>24000</v>
      </c>
      <c r="F59" s="22">
        <v>24000</v>
      </c>
      <c r="G59" s="22">
        <v>24000</v>
      </c>
      <c r="H59" s="22">
        <v>24000</v>
      </c>
    </row>
    <row r="60" spans="1:22" ht="15.75">
      <c r="A60" s="71" t="s">
        <v>64</v>
      </c>
      <c r="C60" s="96"/>
      <c r="D60" s="22"/>
      <c r="E60" s="22"/>
      <c r="F60" s="22"/>
      <c r="G60" s="22"/>
      <c r="H60" s="22"/>
      <c r="I60" s="57"/>
      <c r="J60" s="23"/>
    </row>
    <row r="61" spans="1:22">
      <c r="A61" s="21" t="s">
        <v>62</v>
      </c>
      <c r="C61" s="99" t="e">
        <f>'Phase 2'!#REF!</f>
        <v>#REF!</v>
      </c>
      <c r="D61" s="68">
        <f t="shared" ref="D61:H61" si="18">SUM(D58:D60)</f>
        <v>36000</v>
      </c>
      <c r="E61" s="68">
        <f t="shared" si="18"/>
        <v>36000</v>
      </c>
      <c r="F61" s="68">
        <f t="shared" si="18"/>
        <v>36000</v>
      </c>
      <c r="G61" s="68">
        <f t="shared" si="18"/>
        <v>36000</v>
      </c>
      <c r="H61" s="68">
        <f t="shared" si="18"/>
        <v>36000</v>
      </c>
      <c r="I61" s="23"/>
      <c r="J61" s="23"/>
      <c r="K61" s="24"/>
    </row>
    <row r="62" spans="1:22">
      <c r="I62" s="23"/>
      <c r="J62" s="23"/>
      <c r="K62" s="24"/>
    </row>
    <row r="63" spans="1:22">
      <c r="I63" s="24"/>
      <c r="J63" s="24"/>
      <c r="K63" s="24"/>
    </row>
  </sheetData>
  <mergeCells count="3">
    <mergeCell ref="C1:H1"/>
    <mergeCell ref="C36:H36"/>
    <mergeCell ref="R50:V50"/>
  </mergeCells>
  <dataValidations count="2">
    <dataValidation type="list" allowBlank="1" showInputMessage="1" showErrorMessage="1" sqref="B44 I44" xr:uid="{00000000-0002-0000-0800-000000000000}">
      <formula1>"1,2,3,4"</formula1>
    </dataValidation>
    <dataValidation type="list" allowBlank="1" showInputMessage="1" showErrorMessage="1" sqref="B46 I46:J46" xr:uid="{00000000-0002-0000-0800-000001000000}">
      <formula1>"High, Average, Low"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Introduction</vt:lpstr>
      <vt:lpstr>Phase 0</vt:lpstr>
      <vt:lpstr>Phase 1</vt:lpstr>
      <vt:lpstr>Phase 2</vt:lpstr>
      <vt:lpstr>Phase 3</vt:lpstr>
      <vt:lpstr>Phase 4</vt:lpstr>
      <vt:lpstr>Phase 5</vt:lpstr>
      <vt:lpstr>Phase 6</vt:lpstr>
      <vt:lpstr>(Prix)</vt:lpstr>
      <vt:lpstr>'Phase 2'!Print_Area</vt:lpstr>
      <vt:lpstr>'Phase 3'!Print_Area</vt:lpstr>
      <vt:lpstr>'Phase 4'!Print_Area</vt:lpstr>
      <vt:lpstr>'Phase 5'!Print_Area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de calcul du modèle d'affaires</dc:title>
  <dc:subject/>
  <dc:creator>Heather Davis;USAID</dc:creator>
  <cp:keywords>ADA</cp:keywords>
  <dc:description/>
  <cp:lastModifiedBy>HYD_OFF56</cp:lastModifiedBy>
  <dcterms:created xsi:type="dcterms:W3CDTF">2022-12-29T22:59:51Z</dcterms:created>
  <dcterms:modified xsi:type="dcterms:W3CDTF">2024-02-13T14:42:18Z</dcterms:modified>
  <cp:category/>
</cp:coreProperties>
</file>